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z\Desktop\"/>
    </mc:Choice>
  </mc:AlternateContent>
  <xr:revisionPtr revIDLastSave="0" documentId="8_{31416F5A-DD13-41CA-9043-1822F08554DE}" xr6:coauthVersionLast="44" xr6:coauthVersionMax="44" xr10:uidLastSave="{00000000-0000-0000-0000-000000000000}"/>
  <bookViews>
    <workbookView xWindow="-120" yWindow="-120" windowWidth="24240" windowHeight="13140" tabRatio="615" activeTab="1" xr2:uid="{00000000-000D-0000-FFFF-FFFF00000000}"/>
  </bookViews>
  <sheets>
    <sheet name="PODSUMOWANIE" sheetId="8" r:id="rId1"/>
    <sheet name="koszty pośrednie" sheetId="15" r:id="rId2"/>
    <sheet name="dworzec tymczasowy" sheetId="17" r:id="rId3"/>
    <sheet name="Zagospodarowanie, rozbiórki," sheetId="14" r:id="rId4"/>
    <sheet name="BUDŻET TYP A" sheetId="13" r:id="rId5"/>
    <sheet name="BUDŻET TYP B" sheetId="11" r:id="rId6"/>
  </sheets>
  <definedNames>
    <definedName name="_xlnm._FilterDatabase" localSheetId="1" hidden="1">'koszty pośrednie'!$A$6:$A$73</definedName>
    <definedName name="_xlnm.Print_Area" localSheetId="5">'BUDŻET TYP B'!$A$1:$O$155</definedName>
    <definedName name="_xlnm.Print_Area" localSheetId="2">'dworzec tymczasowy'!$A$1:$O$22</definedName>
    <definedName name="_xlnm.Print_Area" localSheetId="1">'koszty pośrednie'!$A$10:$M$73</definedName>
    <definedName name="_xlnm.Print_Area" localSheetId="0">PODSUMOWANIE!$A$1:$G$17</definedName>
    <definedName name="_xlnm.Print_Area" localSheetId="3">'Zagospodarowanie, rozbiórki,'!$A$1:$O$146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8" l="1"/>
  <c r="E4" i="8"/>
  <c r="F4" i="8" s="1"/>
  <c r="I16" i="17"/>
  <c r="K16" i="17" s="1"/>
  <c r="I15" i="17"/>
  <c r="K15" i="17" s="1"/>
  <c r="R14" i="17"/>
  <c r="R15" i="17" s="1"/>
  <c r="S15" i="17" s="1"/>
  <c r="I14" i="17"/>
  <c r="K14" i="17" s="1"/>
  <c r="P14" i="17" s="1"/>
  <c r="I13" i="17"/>
  <c r="K13" i="17" s="1"/>
  <c r="I12" i="17"/>
  <c r="K12" i="17" s="1"/>
  <c r="R11" i="17"/>
  <c r="R12" i="17" s="1"/>
  <c r="S12" i="17" s="1"/>
  <c r="I11" i="17"/>
  <c r="K11" i="17" s="1"/>
  <c r="P11" i="17" s="1"/>
  <c r="I10" i="17"/>
  <c r="K10" i="17" s="1"/>
  <c r="I9" i="17"/>
  <c r="K9" i="17" s="1"/>
  <c r="I8" i="17"/>
  <c r="K8" i="17" s="1"/>
  <c r="I7" i="17"/>
  <c r="K7" i="17" s="1"/>
  <c r="I6" i="17"/>
  <c r="K6" i="17" s="1"/>
  <c r="K63" i="15"/>
  <c r="K44" i="15"/>
  <c r="K70" i="15"/>
  <c r="K69" i="15"/>
  <c r="K68" i="15"/>
  <c r="K66" i="15"/>
  <c r="K65" i="15"/>
  <c r="K64" i="15"/>
  <c r="K61" i="15"/>
  <c r="K60" i="15"/>
  <c r="K59" i="15"/>
  <c r="K58" i="15"/>
  <c r="K57" i="15"/>
  <c r="K56" i="15"/>
  <c r="K53" i="15"/>
  <c r="K52" i="15"/>
  <c r="K51" i="15"/>
  <c r="K50" i="15"/>
  <c r="K49" i="15"/>
  <c r="K48" i="15"/>
  <c r="K47" i="15"/>
  <c r="K46" i="15"/>
  <c r="K45" i="15"/>
  <c r="K43" i="15"/>
  <c r="K40" i="15"/>
  <c r="L39" i="15" s="1"/>
  <c r="K38" i="15"/>
  <c r="L37" i="15" s="1"/>
  <c r="K36" i="15"/>
  <c r="K35" i="15"/>
  <c r="K33" i="15"/>
  <c r="K32" i="15"/>
  <c r="K29" i="15"/>
  <c r="L28" i="15" s="1"/>
  <c r="K28" i="15"/>
  <c r="K27" i="15"/>
  <c r="K26" i="15"/>
  <c r="K25" i="15"/>
  <c r="K24" i="15"/>
  <c r="K23" i="15"/>
  <c r="K22" i="15"/>
  <c r="K18" i="15"/>
  <c r="K15" i="15"/>
  <c r="K14" i="15"/>
  <c r="L5" i="17" l="1"/>
  <c r="M4" i="17" s="1"/>
  <c r="L13" i="15"/>
  <c r="M13" i="15" s="1"/>
  <c r="L34" i="15"/>
  <c r="L42" i="15"/>
  <c r="M42" i="15" s="1"/>
  <c r="L62" i="15"/>
  <c r="M62" i="15" s="1"/>
  <c r="L31" i="15"/>
  <c r="L55" i="15"/>
  <c r="M55" i="15" s="1"/>
  <c r="L21" i="15"/>
  <c r="L17" i="15"/>
  <c r="M17" i="15" s="1"/>
  <c r="M20" i="15" l="1"/>
  <c r="M11" i="15" s="1"/>
  <c r="M72" i="15" l="1"/>
  <c r="E3" i="8"/>
  <c r="M19" i="17" l="1"/>
  <c r="M18" i="17" s="1"/>
  <c r="M20" i="17" s="1"/>
  <c r="M21" i="17" s="1"/>
  <c r="M22" i="17" s="1"/>
  <c r="C31" i="17" s="1"/>
  <c r="M3" i="17"/>
  <c r="M2" i="17" s="1"/>
  <c r="E8" i="8" l="1"/>
  <c r="E7" i="8"/>
  <c r="E5" i="8"/>
  <c r="M71" i="14"/>
  <c r="I42" i="14"/>
  <c r="K42" i="14" s="1"/>
  <c r="I46" i="14"/>
  <c r="K46" i="14" s="1"/>
  <c r="I68" i="14"/>
  <c r="K68" i="14" s="1"/>
  <c r="I67" i="14"/>
  <c r="K67" i="14" s="1"/>
  <c r="I65" i="14"/>
  <c r="K65" i="14" s="1"/>
  <c r="I64" i="14"/>
  <c r="K64" i="14" s="1"/>
  <c r="I62" i="14"/>
  <c r="K62" i="14" s="1"/>
  <c r="I61" i="14"/>
  <c r="K61" i="14" s="1"/>
  <c r="I59" i="14"/>
  <c r="K59" i="14" s="1"/>
  <c r="I58" i="14"/>
  <c r="K58" i="14" s="1"/>
  <c r="I56" i="14"/>
  <c r="K56" i="14" s="1"/>
  <c r="I55" i="14"/>
  <c r="K55" i="14" s="1"/>
  <c r="I53" i="14"/>
  <c r="K53" i="14" s="1"/>
  <c r="I52" i="14"/>
  <c r="K52" i="14" s="1"/>
  <c r="I50" i="14"/>
  <c r="K50" i="14" s="1"/>
  <c r="I49" i="14"/>
  <c r="K49" i="14" s="1"/>
  <c r="I47" i="14"/>
  <c r="K47" i="14" s="1"/>
  <c r="I45" i="14"/>
  <c r="K45" i="14" s="1"/>
  <c r="I43" i="14"/>
  <c r="K43" i="14" s="1"/>
  <c r="I41" i="14"/>
  <c r="K41" i="14" s="1"/>
  <c r="I39" i="14"/>
  <c r="K39" i="14" s="1"/>
  <c r="I38" i="14"/>
  <c r="K38" i="14" s="1"/>
  <c r="I36" i="14"/>
  <c r="K36" i="14" s="1"/>
  <c r="I35" i="14"/>
  <c r="K35" i="14" s="1"/>
  <c r="I33" i="14"/>
  <c r="K33" i="14" s="1"/>
  <c r="I32" i="14"/>
  <c r="K32" i="14" s="1"/>
  <c r="L31" i="14" s="1"/>
  <c r="I30" i="14"/>
  <c r="K30" i="14" s="1"/>
  <c r="I29" i="14"/>
  <c r="K29" i="14" s="1"/>
  <c r="I27" i="14"/>
  <c r="K27" i="14" s="1"/>
  <c r="I26" i="14"/>
  <c r="K26" i="14" s="1"/>
  <c r="I23" i="14"/>
  <c r="K23" i="14" s="1"/>
  <c r="I20" i="14"/>
  <c r="K20" i="14" s="1"/>
  <c r="I19" i="14"/>
  <c r="K19" i="14" s="1"/>
  <c r="I17" i="14"/>
  <c r="K17" i="14" s="1"/>
  <c r="I16" i="14"/>
  <c r="K16" i="14" s="1"/>
  <c r="L15" i="14" s="1"/>
  <c r="I14" i="14"/>
  <c r="K14" i="14" s="1"/>
  <c r="I13" i="14"/>
  <c r="K13" i="14" s="1"/>
  <c r="I24" i="14"/>
  <c r="K24" i="14" s="1"/>
  <c r="I22" i="14"/>
  <c r="K22" i="14" s="1"/>
  <c r="I11" i="14"/>
  <c r="K11" i="14" s="1"/>
  <c r="I10" i="14"/>
  <c r="K10" i="14" s="1"/>
  <c r="I8" i="14"/>
  <c r="K8" i="14" s="1"/>
  <c r="I7" i="14"/>
  <c r="K7" i="14" s="1"/>
  <c r="I132" i="14"/>
  <c r="K132" i="14" s="1"/>
  <c r="I131" i="14"/>
  <c r="D131" i="14"/>
  <c r="I129" i="14"/>
  <c r="K129" i="14" s="1"/>
  <c r="I128" i="14"/>
  <c r="K128" i="14" s="1"/>
  <c r="D128" i="14"/>
  <c r="I126" i="14"/>
  <c r="K126" i="14" s="1"/>
  <c r="I125" i="14"/>
  <c r="D125" i="14"/>
  <c r="I123" i="14"/>
  <c r="K123" i="14" s="1"/>
  <c r="I122" i="14"/>
  <c r="D122" i="14"/>
  <c r="I120" i="14"/>
  <c r="K120" i="14" s="1"/>
  <c r="I119" i="14"/>
  <c r="D119" i="14"/>
  <c r="I117" i="14"/>
  <c r="K117" i="14" s="1"/>
  <c r="I116" i="14"/>
  <c r="K116" i="14" s="1"/>
  <c r="D116" i="14"/>
  <c r="I114" i="14"/>
  <c r="K114" i="14" s="1"/>
  <c r="I113" i="14"/>
  <c r="D113" i="14"/>
  <c r="I111" i="14"/>
  <c r="K111" i="14" s="1"/>
  <c r="I110" i="14"/>
  <c r="D110" i="14"/>
  <c r="I108" i="14"/>
  <c r="K108" i="14" s="1"/>
  <c r="I107" i="14"/>
  <c r="D107" i="14"/>
  <c r="K107" i="14" s="1"/>
  <c r="I105" i="14"/>
  <c r="K105" i="14" s="1"/>
  <c r="I104" i="14"/>
  <c r="K104" i="14" s="1"/>
  <c r="D104" i="14"/>
  <c r="I102" i="14"/>
  <c r="K102" i="14" s="1"/>
  <c r="I101" i="14"/>
  <c r="D101" i="14"/>
  <c r="I99" i="14"/>
  <c r="K99" i="14" s="1"/>
  <c r="I98" i="14"/>
  <c r="D98" i="14"/>
  <c r="K98" i="14" s="1"/>
  <c r="L97" i="14" s="1"/>
  <c r="I96" i="14"/>
  <c r="K96" i="14" s="1"/>
  <c r="I95" i="14"/>
  <c r="D95" i="14"/>
  <c r="K95" i="14" s="1"/>
  <c r="I93" i="14"/>
  <c r="K93" i="14" s="1"/>
  <c r="I92" i="14"/>
  <c r="K92" i="14" s="1"/>
  <c r="D92" i="14"/>
  <c r="I90" i="14"/>
  <c r="K90" i="14" s="1"/>
  <c r="I89" i="14"/>
  <c r="D89" i="14"/>
  <c r="I87" i="14"/>
  <c r="K87" i="14" s="1"/>
  <c r="I86" i="14"/>
  <c r="K86" i="14" s="1"/>
  <c r="L85" i="14" s="1"/>
  <c r="K84" i="14"/>
  <c r="I84" i="14"/>
  <c r="I83" i="14"/>
  <c r="D83" i="14"/>
  <c r="K83" i="14" s="1"/>
  <c r="K81" i="14"/>
  <c r="I81" i="14"/>
  <c r="I80" i="14"/>
  <c r="D80" i="14"/>
  <c r="K80" i="14" s="1"/>
  <c r="K78" i="14"/>
  <c r="I78" i="14"/>
  <c r="I77" i="14"/>
  <c r="D77" i="14"/>
  <c r="K77" i="14" s="1"/>
  <c r="I75" i="14"/>
  <c r="K75" i="14" s="1"/>
  <c r="I74" i="14"/>
  <c r="D74" i="14"/>
  <c r="K119" i="14" l="1"/>
  <c r="L54" i="14"/>
  <c r="L60" i="14"/>
  <c r="L44" i="14"/>
  <c r="L57" i="14"/>
  <c r="L66" i="14"/>
  <c r="L34" i="14"/>
  <c r="L21" i="14"/>
  <c r="L12" i="14"/>
  <c r="L9" i="14"/>
  <c r="L6" i="14"/>
  <c r="L18" i="14"/>
  <c r="L25" i="14"/>
  <c r="L28" i="14"/>
  <c r="L37" i="14"/>
  <c r="L40" i="14"/>
  <c r="L51" i="14"/>
  <c r="L48" i="14"/>
  <c r="L63" i="14"/>
  <c r="L76" i="14"/>
  <c r="L82" i="14"/>
  <c r="L79" i="14"/>
  <c r="L94" i="14"/>
  <c r="L106" i="14"/>
  <c r="K110" i="14"/>
  <c r="L109" i="14" s="1"/>
  <c r="L118" i="14"/>
  <c r="K122" i="14"/>
  <c r="L121" i="14" s="1"/>
  <c r="K131" i="14"/>
  <c r="L130" i="14" s="1"/>
  <c r="K74" i="14"/>
  <c r="K89" i="14"/>
  <c r="L91" i="14"/>
  <c r="K101" i="14"/>
  <c r="L100" i="14" s="1"/>
  <c r="L103" i="14"/>
  <c r="K113" i="14"/>
  <c r="L115" i="14"/>
  <c r="K125" i="14"/>
  <c r="L73" i="14"/>
  <c r="L88" i="14"/>
  <c r="L112" i="14"/>
  <c r="L124" i="14"/>
  <c r="L127" i="14"/>
  <c r="M4" i="14" l="1"/>
  <c r="M3" i="14" l="1"/>
  <c r="M2" i="14" s="1"/>
  <c r="M143" i="14"/>
  <c r="M142" i="14" s="1"/>
  <c r="M144" i="14" s="1"/>
  <c r="M145" i="14" l="1"/>
  <c r="M146" i="14" s="1"/>
  <c r="C155" i="14" s="1"/>
  <c r="M104" i="13" l="1"/>
  <c r="I144" i="13"/>
  <c r="K144" i="13" s="1"/>
  <c r="L143" i="13" s="1"/>
  <c r="I142" i="13"/>
  <c r="K142" i="13" s="1"/>
  <c r="L141" i="13" s="1"/>
  <c r="I136" i="13"/>
  <c r="K136" i="13" s="1"/>
  <c r="K135" i="13"/>
  <c r="I135" i="13"/>
  <c r="I134" i="13"/>
  <c r="K134" i="13" s="1"/>
  <c r="I133" i="13"/>
  <c r="K133" i="13" s="1"/>
  <c r="I132" i="13"/>
  <c r="K132" i="13" s="1"/>
  <c r="K131" i="13"/>
  <c r="I131" i="13"/>
  <c r="I130" i="13"/>
  <c r="K130" i="13" s="1"/>
  <c r="I129" i="13"/>
  <c r="K129" i="13" s="1"/>
  <c r="I128" i="13"/>
  <c r="K128" i="13" s="1"/>
  <c r="K127" i="13"/>
  <c r="I127" i="13"/>
  <c r="I126" i="13"/>
  <c r="K126" i="13" s="1"/>
  <c r="I125" i="13"/>
  <c r="K125" i="13" s="1"/>
  <c r="I124" i="13"/>
  <c r="K124" i="13" s="1"/>
  <c r="K123" i="13"/>
  <c r="I123" i="13"/>
  <c r="I122" i="13"/>
  <c r="K122" i="13" s="1"/>
  <c r="I121" i="13"/>
  <c r="K121" i="13" s="1"/>
  <c r="I120" i="13"/>
  <c r="K120" i="13" s="1"/>
  <c r="K119" i="13"/>
  <c r="I119" i="13"/>
  <c r="I118" i="13"/>
  <c r="K118" i="13" s="1"/>
  <c r="I117" i="13"/>
  <c r="K117" i="13" s="1"/>
  <c r="I116" i="13"/>
  <c r="K116" i="13" s="1"/>
  <c r="K115" i="13"/>
  <c r="I115" i="13"/>
  <c r="I114" i="13"/>
  <c r="K114" i="13" s="1"/>
  <c r="I113" i="13"/>
  <c r="K113" i="13" s="1"/>
  <c r="I112" i="13"/>
  <c r="K112" i="13" s="1"/>
  <c r="K111" i="13"/>
  <c r="I111" i="13"/>
  <c r="I110" i="13"/>
  <c r="K110" i="13" s="1"/>
  <c r="I109" i="13"/>
  <c r="K109" i="13" s="1"/>
  <c r="I108" i="13"/>
  <c r="K108" i="13" s="1"/>
  <c r="K107" i="13"/>
  <c r="I107" i="13"/>
  <c r="I106" i="13"/>
  <c r="K106" i="13" s="1"/>
  <c r="I103" i="13"/>
  <c r="D103" i="13"/>
  <c r="K103" i="13" s="1"/>
  <c r="I102" i="13"/>
  <c r="I101" i="13"/>
  <c r="D101" i="13"/>
  <c r="D102" i="13" s="1"/>
  <c r="K102" i="13" s="1"/>
  <c r="I100" i="13"/>
  <c r="I99" i="13"/>
  <c r="D99" i="13"/>
  <c r="K99" i="13" s="1"/>
  <c r="I98" i="13"/>
  <c r="K98" i="13" s="1"/>
  <c r="F98" i="13"/>
  <c r="I97" i="13"/>
  <c r="K97" i="13" s="1"/>
  <c r="I96" i="13"/>
  <c r="I95" i="13"/>
  <c r="K95" i="13" s="1"/>
  <c r="G95" i="13"/>
  <c r="I94" i="13"/>
  <c r="K94" i="13" s="1"/>
  <c r="I93" i="13"/>
  <c r="G92" i="13"/>
  <c r="I92" i="13" s="1"/>
  <c r="K92" i="13" s="1"/>
  <c r="I91" i="13"/>
  <c r="K91" i="13" s="1"/>
  <c r="I88" i="13"/>
  <c r="K88" i="13" s="1"/>
  <c r="G86" i="13"/>
  <c r="G87" i="13" s="1"/>
  <c r="I87" i="13" s="1"/>
  <c r="K87" i="13" s="1"/>
  <c r="I85" i="13"/>
  <c r="I84" i="13"/>
  <c r="D84" i="13"/>
  <c r="K84" i="13" s="1"/>
  <c r="I83" i="13"/>
  <c r="K83" i="13" s="1"/>
  <c r="K82" i="13"/>
  <c r="I82" i="13"/>
  <c r="G81" i="13"/>
  <c r="I81" i="13" s="1"/>
  <c r="I80" i="13"/>
  <c r="D80" i="13"/>
  <c r="D81" i="13" s="1"/>
  <c r="I79" i="13"/>
  <c r="D79" i="13"/>
  <c r="K79" i="13" s="1"/>
  <c r="K78" i="13"/>
  <c r="I78" i="13"/>
  <c r="I77" i="13"/>
  <c r="D77" i="13"/>
  <c r="K76" i="13"/>
  <c r="I76" i="13"/>
  <c r="D76" i="13"/>
  <c r="I75" i="13"/>
  <c r="K75" i="13" s="1"/>
  <c r="L74" i="13" s="1"/>
  <c r="D75" i="13"/>
  <c r="I74" i="13"/>
  <c r="D74" i="13"/>
  <c r="I72" i="13"/>
  <c r="K72" i="13" s="1"/>
  <c r="I71" i="13"/>
  <c r="K71" i="13" s="1"/>
  <c r="I70" i="13"/>
  <c r="D70" i="13"/>
  <c r="K70" i="13" s="1"/>
  <c r="I69" i="13"/>
  <c r="D69" i="13"/>
  <c r="K69" i="13" s="1"/>
  <c r="I68" i="13"/>
  <c r="K68" i="13" s="1"/>
  <c r="I66" i="13"/>
  <c r="I65" i="13"/>
  <c r="G64" i="13"/>
  <c r="I64" i="13" s="1"/>
  <c r="I63" i="13"/>
  <c r="D63" i="13"/>
  <c r="D64" i="13" s="1"/>
  <c r="I60" i="13"/>
  <c r="K60" i="13" s="1"/>
  <c r="I59" i="13"/>
  <c r="K59" i="13" s="1"/>
  <c r="I58" i="13"/>
  <c r="K58" i="13" s="1"/>
  <c r="I57" i="13"/>
  <c r="D57" i="13"/>
  <c r="K57" i="13" s="1"/>
  <c r="I55" i="13"/>
  <c r="D55" i="13"/>
  <c r="K55" i="13" s="1"/>
  <c r="K54" i="13"/>
  <c r="I54" i="13"/>
  <c r="D54" i="13"/>
  <c r="I53" i="13"/>
  <c r="D53" i="13"/>
  <c r="K53" i="13" s="1"/>
  <c r="I51" i="13"/>
  <c r="D51" i="13"/>
  <c r="K51" i="13" s="1"/>
  <c r="I50" i="13"/>
  <c r="D50" i="13"/>
  <c r="K50" i="13" s="1"/>
  <c r="I48" i="13"/>
  <c r="D48" i="13"/>
  <c r="K48" i="13" s="1"/>
  <c r="I47" i="13"/>
  <c r="D47" i="13"/>
  <c r="K47" i="13" s="1"/>
  <c r="I44" i="13"/>
  <c r="D44" i="13"/>
  <c r="I43" i="13"/>
  <c r="I42" i="13"/>
  <c r="D42" i="13"/>
  <c r="D43" i="13" s="1"/>
  <c r="I41" i="13"/>
  <c r="K41" i="13" s="1"/>
  <c r="I40" i="13"/>
  <c r="D40" i="13"/>
  <c r="K40" i="13" s="1"/>
  <c r="I36" i="13"/>
  <c r="K36" i="13" s="1"/>
  <c r="L35" i="13" s="1"/>
  <c r="I33" i="13"/>
  <c r="I32" i="13"/>
  <c r="I30" i="13"/>
  <c r="K30" i="13" s="1"/>
  <c r="I29" i="13"/>
  <c r="K29" i="13" s="1"/>
  <c r="K28" i="13"/>
  <c r="I28" i="13"/>
  <c r="I27" i="13"/>
  <c r="I25" i="13"/>
  <c r="K25" i="13" s="1"/>
  <c r="K24" i="13"/>
  <c r="I24" i="13"/>
  <c r="I23" i="13"/>
  <c r="K23" i="13" s="1"/>
  <c r="I22" i="13"/>
  <c r="I21" i="13"/>
  <c r="I19" i="13"/>
  <c r="D19" i="13"/>
  <c r="K19" i="13" s="1"/>
  <c r="I18" i="13"/>
  <c r="K18" i="13" s="1"/>
  <c r="I17" i="13"/>
  <c r="D17" i="13"/>
  <c r="K17" i="13" s="1"/>
  <c r="I16" i="13"/>
  <c r="K16" i="13" s="1"/>
  <c r="I15" i="13"/>
  <c r="D15" i="13"/>
  <c r="K15" i="13" s="1"/>
  <c r="I14" i="13"/>
  <c r="K14" i="13" s="1"/>
  <c r="I13" i="13"/>
  <c r="D13" i="13"/>
  <c r="D22" i="13" s="1"/>
  <c r="I12" i="13"/>
  <c r="K12" i="13" s="1"/>
  <c r="I11" i="13"/>
  <c r="D11" i="13"/>
  <c r="D21" i="13" s="1"/>
  <c r="K21" i="13" s="1"/>
  <c r="I8" i="13"/>
  <c r="K8" i="13" s="1"/>
  <c r="I7" i="13"/>
  <c r="K7" i="13" s="1"/>
  <c r="K6" i="13"/>
  <c r="I6" i="13"/>
  <c r="D110" i="11"/>
  <c r="D106" i="11"/>
  <c r="G64" i="11"/>
  <c r="D64" i="11"/>
  <c r="I64" i="11"/>
  <c r="I95" i="11"/>
  <c r="K95" i="11" s="1"/>
  <c r="D91" i="11"/>
  <c r="G88" i="11"/>
  <c r="I88" i="11" s="1"/>
  <c r="D86" i="11"/>
  <c r="D87" i="11" s="1"/>
  <c r="D88" i="11" s="1"/>
  <c r="D83" i="11"/>
  <c r="D63" i="11"/>
  <c r="D57" i="11"/>
  <c r="D56" i="11"/>
  <c r="D51" i="11"/>
  <c r="D50" i="11"/>
  <c r="D47" i="11"/>
  <c r="D44" i="11"/>
  <c r="D42" i="11"/>
  <c r="D43" i="11" s="1"/>
  <c r="D40" i="11"/>
  <c r="I44" i="11"/>
  <c r="I43" i="11"/>
  <c r="I42" i="11"/>
  <c r="I41" i="11"/>
  <c r="K41" i="11" s="1"/>
  <c r="I40" i="11"/>
  <c r="D18" i="11"/>
  <c r="D17" i="11"/>
  <c r="D16" i="11"/>
  <c r="D13" i="11"/>
  <c r="K43" i="13" l="1"/>
  <c r="K44" i="13"/>
  <c r="L5" i="13"/>
  <c r="M4" i="13" s="1"/>
  <c r="L52" i="13"/>
  <c r="L46" i="13"/>
  <c r="K101" i="13"/>
  <c r="L100" i="13" s="1"/>
  <c r="L39" i="13"/>
  <c r="M39" i="13" s="1"/>
  <c r="L96" i="13"/>
  <c r="K42" i="13"/>
  <c r="M140" i="13"/>
  <c r="L56" i="13"/>
  <c r="D65" i="13"/>
  <c r="K64" i="13"/>
  <c r="L49" i="13"/>
  <c r="M45" i="13" s="1"/>
  <c r="K81" i="13"/>
  <c r="L93" i="13"/>
  <c r="L105" i="13"/>
  <c r="D32" i="13"/>
  <c r="K22" i="13"/>
  <c r="L20" i="13" s="1"/>
  <c r="D27" i="13"/>
  <c r="K27" i="13" s="1"/>
  <c r="L26" i="13" s="1"/>
  <c r="L67" i="13"/>
  <c r="L90" i="13"/>
  <c r="M89" i="13" s="1"/>
  <c r="K11" i="13"/>
  <c r="I86" i="13"/>
  <c r="K86" i="13" s="1"/>
  <c r="L85" i="13" s="1"/>
  <c r="K13" i="13"/>
  <c r="K63" i="13"/>
  <c r="K80" i="13"/>
  <c r="L77" i="13" s="1"/>
  <c r="M73" i="13" s="1"/>
  <c r="K64" i="11"/>
  <c r="K88" i="11"/>
  <c r="K40" i="11"/>
  <c r="K43" i="11"/>
  <c r="K44" i="11"/>
  <c r="K42" i="11"/>
  <c r="L10" i="13" l="1"/>
  <c r="D66" i="13"/>
  <c r="K66" i="13" s="1"/>
  <c r="K65" i="13"/>
  <c r="D33" i="13"/>
  <c r="K33" i="13" s="1"/>
  <c r="K32" i="13"/>
  <c r="L39" i="11"/>
  <c r="L62" i="13" l="1"/>
  <c r="M61" i="13" s="1"/>
  <c r="L31" i="13"/>
  <c r="M9" i="13" s="1"/>
  <c r="M3" i="13" s="1"/>
  <c r="M2" i="13" s="1"/>
  <c r="M147" i="13"/>
  <c r="M146" i="13" s="1"/>
  <c r="M148" i="13" s="1"/>
  <c r="M149" i="13" l="1"/>
  <c r="M150" i="13" s="1"/>
  <c r="C159" i="13" s="1"/>
  <c r="I139" i="11" l="1"/>
  <c r="K139" i="11" s="1"/>
  <c r="I150" i="11"/>
  <c r="K150" i="11" s="1"/>
  <c r="D108" i="11"/>
  <c r="D109" i="11" s="1"/>
  <c r="I8" i="11"/>
  <c r="K8" i="11" s="1"/>
  <c r="I6" i="11"/>
  <c r="I7" i="11"/>
  <c r="K7" i="11" s="1"/>
  <c r="I114" i="11"/>
  <c r="K114" i="11" s="1"/>
  <c r="I115" i="11"/>
  <c r="K115" i="11" s="1"/>
  <c r="I116" i="11"/>
  <c r="K116" i="11" s="1"/>
  <c r="I117" i="11"/>
  <c r="K117" i="11" s="1"/>
  <c r="I118" i="11"/>
  <c r="K118" i="11" s="1"/>
  <c r="I119" i="11"/>
  <c r="K119" i="11" s="1"/>
  <c r="I120" i="11"/>
  <c r="K120" i="11" s="1"/>
  <c r="I121" i="11"/>
  <c r="K121" i="11" s="1"/>
  <c r="I122" i="11"/>
  <c r="K122" i="11" s="1"/>
  <c r="I123" i="11"/>
  <c r="K123" i="11" s="1"/>
  <c r="I124" i="11"/>
  <c r="K124" i="11" s="1"/>
  <c r="I125" i="11"/>
  <c r="K125" i="11" s="1"/>
  <c r="I126" i="11"/>
  <c r="K126" i="11" s="1"/>
  <c r="I127" i="11"/>
  <c r="K127" i="11" s="1"/>
  <c r="I128" i="11"/>
  <c r="K128" i="11" s="1"/>
  <c r="I129" i="11"/>
  <c r="K129" i="11" s="1"/>
  <c r="I130" i="11"/>
  <c r="K130" i="11" s="1"/>
  <c r="I131" i="11"/>
  <c r="K131" i="11" s="1"/>
  <c r="I132" i="11"/>
  <c r="K132" i="11" s="1"/>
  <c r="I133" i="11"/>
  <c r="K133" i="11" s="1"/>
  <c r="I134" i="11"/>
  <c r="K134" i="11" s="1"/>
  <c r="I135" i="11"/>
  <c r="K135" i="11" s="1"/>
  <c r="I136" i="11"/>
  <c r="K136" i="11" s="1"/>
  <c r="I137" i="11"/>
  <c r="K137" i="11" s="1"/>
  <c r="I138" i="11"/>
  <c r="K138" i="11" s="1"/>
  <c r="I140" i="11"/>
  <c r="K140" i="11" s="1"/>
  <c r="I141" i="11"/>
  <c r="K141" i="11" s="1"/>
  <c r="I142" i="11"/>
  <c r="K142" i="11" s="1"/>
  <c r="I143" i="11"/>
  <c r="K143" i="11" s="1"/>
  <c r="I144" i="11"/>
  <c r="I113" i="11"/>
  <c r="K113" i="11" s="1"/>
  <c r="I110" i="11"/>
  <c r="I109" i="11"/>
  <c r="I108" i="11"/>
  <c r="I107" i="11"/>
  <c r="I100" i="11"/>
  <c r="I101" i="11"/>
  <c r="K101" i="11" s="1"/>
  <c r="I103" i="11"/>
  <c r="I104" i="11"/>
  <c r="K104" i="11" s="1"/>
  <c r="I105" i="11"/>
  <c r="K105" i="11" s="1"/>
  <c r="I106" i="11"/>
  <c r="K106" i="11" s="1"/>
  <c r="I98" i="11"/>
  <c r="G102" i="11"/>
  <c r="I102" i="11" s="1"/>
  <c r="I81" i="11"/>
  <c r="I83" i="11"/>
  <c r="K83" i="11" s="1"/>
  <c r="I84" i="11"/>
  <c r="I85" i="11"/>
  <c r="I86" i="11"/>
  <c r="I87" i="11"/>
  <c r="I89" i="11"/>
  <c r="K89" i="11" s="1"/>
  <c r="I90" i="11"/>
  <c r="K90" i="11" s="1"/>
  <c r="I91" i="11"/>
  <c r="I92" i="11"/>
  <c r="I82" i="11"/>
  <c r="G99" i="11"/>
  <c r="I99" i="11" s="1"/>
  <c r="G93" i="11"/>
  <c r="I93" i="11" s="1"/>
  <c r="D84" i="11"/>
  <c r="I79" i="11"/>
  <c r="K79" i="11" s="1"/>
  <c r="I74" i="11"/>
  <c r="I75" i="11"/>
  <c r="I76" i="11"/>
  <c r="I77" i="11"/>
  <c r="K77" i="11" s="1"/>
  <c r="I78" i="11"/>
  <c r="K78" i="11" s="1"/>
  <c r="I73" i="11"/>
  <c r="D76" i="11"/>
  <c r="D75" i="11"/>
  <c r="D74" i="11"/>
  <c r="K74" i="11" s="1"/>
  <c r="I69" i="11"/>
  <c r="I70" i="11"/>
  <c r="I71" i="11"/>
  <c r="K71" i="11" s="1"/>
  <c r="I67" i="11"/>
  <c r="I48" i="11"/>
  <c r="I50" i="11"/>
  <c r="I51" i="11"/>
  <c r="I53" i="11"/>
  <c r="I54" i="11"/>
  <c r="I55" i="11"/>
  <c r="I56" i="11"/>
  <c r="I57" i="11"/>
  <c r="I59" i="11"/>
  <c r="I60" i="11"/>
  <c r="I61" i="11"/>
  <c r="I62" i="11"/>
  <c r="K62" i="11" s="1"/>
  <c r="I63" i="11"/>
  <c r="I47" i="11"/>
  <c r="G68" i="11"/>
  <c r="I68" i="11" s="1"/>
  <c r="D67" i="11"/>
  <c r="D68" i="11" s="1"/>
  <c r="D69" i="11" s="1"/>
  <c r="D70" i="11" s="1"/>
  <c r="D60" i="11"/>
  <c r="D61" i="11"/>
  <c r="D48" i="11"/>
  <c r="D59" i="11"/>
  <c r="D55" i="11"/>
  <c r="D54" i="11"/>
  <c r="D53" i="11"/>
  <c r="K108" i="11" l="1"/>
  <c r="K110" i="11"/>
  <c r="L149" i="11"/>
  <c r="K109" i="11"/>
  <c r="L107" i="11" s="1"/>
  <c r="K102" i="11"/>
  <c r="L100" i="11" s="1"/>
  <c r="G94" i="11"/>
  <c r="I94" i="11" s="1"/>
  <c r="L103" i="11"/>
  <c r="K91" i="11"/>
  <c r="K57" i="11"/>
  <c r="K56" i="11"/>
  <c r="K51" i="11"/>
  <c r="K61" i="11"/>
  <c r="K76" i="11"/>
  <c r="K75" i="11"/>
  <c r="K55" i="11"/>
  <c r="K54" i="11"/>
  <c r="K59" i="11"/>
  <c r="K60" i="11"/>
  <c r="K63" i="11"/>
  <c r="K48" i="11"/>
  <c r="K53" i="11"/>
  <c r="K50" i="11"/>
  <c r="L58" i="11" l="1"/>
  <c r="L49" i="11"/>
  <c r="L52" i="11"/>
  <c r="I30" i="11" l="1"/>
  <c r="K30" i="11" s="1"/>
  <c r="D19" i="11"/>
  <c r="I18" i="11"/>
  <c r="I16" i="11"/>
  <c r="I15" i="11"/>
  <c r="D11" i="11"/>
  <c r="O17" i="11" l="1"/>
  <c r="D22" i="11"/>
  <c r="D32" i="11" s="1"/>
  <c r="R17" i="11"/>
  <c r="R18" i="11" s="1"/>
  <c r="S18" i="11" s="1"/>
  <c r="K15" i="11"/>
  <c r="K18" i="11"/>
  <c r="P18" i="11" s="1"/>
  <c r="K16" i="11"/>
  <c r="I36" i="11" l="1"/>
  <c r="K36" i="11" s="1"/>
  <c r="L35" i="11" s="1"/>
  <c r="I33" i="11"/>
  <c r="P33" i="11" s="1"/>
  <c r="I32" i="11"/>
  <c r="P32" i="11" s="1"/>
  <c r="I29" i="11"/>
  <c r="K29" i="11" s="1"/>
  <c r="I28" i="11"/>
  <c r="K28" i="11" s="1"/>
  <c r="I27" i="11"/>
  <c r="I25" i="11"/>
  <c r="K25" i="11" s="1"/>
  <c r="I24" i="11"/>
  <c r="K24" i="11" s="1"/>
  <c r="I23" i="11"/>
  <c r="K23" i="11" s="1"/>
  <c r="I22" i="11"/>
  <c r="P22" i="11" s="1"/>
  <c r="I21" i="11"/>
  <c r="D21" i="11"/>
  <c r="I19" i="11"/>
  <c r="K19" i="11" s="1"/>
  <c r="P19" i="11" s="1"/>
  <c r="I17" i="11"/>
  <c r="K17" i="11" s="1"/>
  <c r="P17" i="11" s="1"/>
  <c r="I14" i="11"/>
  <c r="K14" i="11" s="1"/>
  <c r="I13" i="11"/>
  <c r="K13" i="11" s="1"/>
  <c r="I12" i="11"/>
  <c r="K12" i="11" s="1"/>
  <c r="I11" i="11"/>
  <c r="K11" i="11" s="1"/>
  <c r="K21" i="11" l="1"/>
  <c r="P23" i="11"/>
  <c r="L10" i="11"/>
  <c r="D33" i="11"/>
  <c r="K33" i="11" s="1"/>
  <c r="K32" i="11"/>
  <c r="K22" i="11"/>
  <c r="L20" i="11" s="1"/>
  <c r="D27" i="11"/>
  <c r="K27" i="11" s="1"/>
  <c r="L26" i="11" s="1"/>
  <c r="P36" i="11" l="1"/>
  <c r="L31" i="11"/>
  <c r="M9" i="11" s="1"/>
  <c r="D81" i="11" l="1"/>
  <c r="K82" i="11"/>
  <c r="L81" i="11" s="1"/>
  <c r="I148" i="11"/>
  <c r="K148" i="11" s="1"/>
  <c r="K144" i="11"/>
  <c r="L112" i="11" s="1"/>
  <c r="K94" i="11"/>
  <c r="K93" i="11"/>
  <c r="K86" i="11"/>
  <c r="K85" i="11"/>
  <c r="K70" i="11"/>
  <c r="K69" i="11"/>
  <c r="K68" i="11"/>
  <c r="K67" i="11"/>
  <c r="K6" i="11"/>
  <c r="F7" i="8"/>
  <c r="F8" i="8"/>
  <c r="L5" i="11" l="1"/>
  <c r="M4" i="11" s="1"/>
  <c r="L92" i="11"/>
  <c r="L66" i="11"/>
  <c r="K99" i="11"/>
  <c r="K98" i="11"/>
  <c r="K47" i="11"/>
  <c r="L46" i="11" s="1"/>
  <c r="K73" i="11"/>
  <c r="L72" i="11" s="1"/>
  <c r="K87" i="11"/>
  <c r="L84" i="11" s="1"/>
  <c r="M80" i="11" l="1"/>
  <c r="M65" i="11"/>
  <c r="M111" i="11"/>
  <c r="L147" i="11"/>
  <c r="M146" i="11" s="1"/>
  <c r="L97" i="11"/>
  <c r="M96" i="11" s="1"/>
  <c r="M39" i="11"/>
  <c r="M45" i="11" l="1"/>
  <c r="M3" i="11" s="1"/>
  <c r="M152" i="11" l="1"/>
  <c r="M151" i="11" s="1"/>
  <c r="M153" i="11" s="1"/>
  <c r="M2" i="11"/>
  <c r="E6" i="8" s="1"/>
  <c r="F6" i="8" s="1"/>
  <c r="M154" i="11" l="1"/>
  <c r="M155" i="11" s="1"/>
  <c r="C164" i="11" s="1"/>
  <c r="F5" i="8" l="1"/>
  <c r="F3" i="8"/>
  <c r="F9" i="8" l="1"/>
  <c r="F11" i="8" l="1"/>
  <c r="F12" i="8" s="1"/>
</calcChain>
</file>

<file path=xl/sharedStrings.xml><?xml version="1.0" encoding="utf-8"?>
<sst xmlns="http://schemas.openxmlformats.org/spreadsheetml/2006/main" count="1002" uniqueCount="335">
  <si>
    <t>m2</t>
  </si>
  <si>
    <t>kpl</t>
  </si>
  <si>
    <t>m</t>
  </si>
  <si>
    <t>lp</t>
  </si>
  <si>
    <t>KOSZTY BEZPOŚREDNIE</t>
  </si>
  <si>
    <t>jedn.</t>
  </si>
  <si>
    <t>ilość</t>
  </si>
  <si>
    <t>cena jednostkowa</t>
  </si>
  <si>
    <t>koszty bezpośrednie budowy</t>
  </si>
  <si>
    <t>Branża budowlana</t>
  </si>
  <si>
    <t>Suma</t>
  </si>
  <si>
    <t>Marża 0%</t>
  </si>
  <si>
    <t>suma+marża</t>
  </si>
  <si>
    <t>M</t>
  </si>
  <si>
    <t>R</t>
  </si>
  <si>
    <t>S</t>
  </si>
  <si>
    <t>ELEWACJA</t>
  </si>
  <si>
    <t>ELEMENTY ŚLUSARSKO - KOWALSKO - DEKARSKIE</t>
  </si>
  <si>
    <t>ROBOTY ŻELBETOWE</t>
  </si>
  <si>
    <t xml:space="preserve">ROBOTY ZIEMNE </t>
  </si>
  <si>
    <t>WARSTWY POSADZKOWE</t>
  </si>
  <si>
    <t>ROBOTY MUROWE I WYKOŃCZENIOWE</t>
  </si>
  <si>
    <t>BRANŻA BUDOWLANA</t>
  </si>
  <si>
    <t>DACH</t>
  </si>
  <si>
    <t>cena za m2 z kp</t>
  </si>
  <si>
    <t>/m2</t>
  </si>
  <si>
    <t>Powirzchnia netto</t>
  </si>
  <si>
    <t>Wykończenie ścian</t>
  </si>
  <si>
    <t>Wykończenie sufitów</t>
  </si>
  <si>
    <t>Wykończenie posadzek</t>
  </si>
  <si>
    <t>Roboty ziemne</t>
  </si>
  <si>
    <t>Zbrojenie</t>
  </si>
  <si>
    <t>Murowanie</t>
  </si>
  <si>
    <t>Pozostałe</t>
  </si>
  <si>
    <t>m3</t>
  </si>
  <si>
    <t>Konstrukcja stalowa</t>
  </si>
  <si>
    <t>dostawa i montaż konstrukcji stalowej</t>
  </si>
  <si>
    <t>t</t>
  </si>
  <si>
    <t>montaż zbrojenia - pręty</t>
  </si>
  <si>
    <t>współcz. do M</t>
  </si>
  <si>
    <t>posadzka na gruncie</t>
  </si>
  <si>
    <t>folia pe</t>
  </si>
  <si>
    <t>IZOLACJE</t>
  </si>
  <si>
    <t>cokoliki 10 cm</t>
  </si>
  <si>
    <t>folia kubełkowa HDPE 0,2mm</t>
  </si>
  <si>
    <t>listwa zakończeniowa do foli kubełkowej</t>
  </si>
  <si>
    <t>Dach - nad konstrukcją stalową</t>
  </si>
  <si>
    <t>Dach nad płytą żelbetową</t>
  </si>
  <si>
    <t>Lp</t>
  </si>
  <si>
    <t>Zakres</t>
  </si>
  <si>
    <t>Jedn</t>
  </si>
  <si>
    <t>Ilość</t>
  </si>
  <si>
    <t>cj</t>
  </si>
  <si>
    <t>wartość netto</t>
  </si>
  <si>
    <t>Koszty pośrednie</t>
  </si>
  <si>
    <t>RAZEM NETTO</t>
  </si>
  <si>
    <t>VAT 23%</t>
  </si>
  <si>
    <t>RAZEM BRUTTO</t>
  </si>
  <si>
    <t>Podkłady z chudego betonu B15 gr. 10 cm</t>
  </si>
  <si>
    <t>płyta stropowa gr 15cm, B30</t>
  </si>
  <si>
    <t>ławy fundamentowe B30 0,6x0,4m</t>
  </si>
  <si>
    <t>Wymiana stabilizacja gruntu</t>
  </si>
  <si>
    <t>Kruszywo łamane stabilizowane mechanicznie</t>
  </si>
  <si>
    <t>murowanie ścian wewnętrznych gr. 15 cm</t>
  </si>
  <si>
    <t xml:space="preserve">izolacja pozioma na ławach i stopach </t>
  </si>
  <si>
    <t>Styropian XPS gr. 14 cm - ŚCIANA FUNDAMENTOWA</t>
  </si>
  <si>
    <t>płytki gres - łazienka</t>
  </si>
  <si>
    <t>płytki - pom. techniczne i gospodarcze</t>
  </si>
  <si>
    <t xml:space="preserve">blacha trapezowa </t>
  </si>
  <si>
    <t>Folia polietylenowa</t>
  </si>
  <si>
    <t>Płyta OSB gr. 2,5 cm</t>
  </si>
  <si>
    <t>Papa nawierzchniowa 0,5 cm</t>
  </si>
  <si>
    <t>Papa podkładowa 0,5 cm</t>
  </si>
  <si>
    <t>mb</t>
  </si>
  <si>
    <t>szt.</t>
  </si>
  <si>
    <t>Misa ustępowa dla niepełnosprawnych</t>
  </si>
  <si>
    <t>Umywalka dla niepełnosprawnych</t>
  </si>
  <si>
    <t>Przewijak</t>
  </si>
  <si>
    <t>Uchwyt (poręcz)</t>
  </si>
  <si>
    <t>Poręcz skośna 90'</t>
  </si>
  <si>
    <t>Lustro</t>
  </si>
  <si>
    <t>Suszarka do rąk</t>
  </si>
  <si>
    <t>Dozownik mydła</t>
  </si>
  <si>
    <t>Pojemnik na papier</t>
  </si>
  <si>
    <t>Wieszak</t>
  </si>
  <si>
    <t>Szczotka do WC</t>
  </si>
  <si>
    <t>Zlew gospodarczy</t>
  </si>
  <si>
    <t>Haczyki na ubrania</t>
  </si>
  <si>
    <t>Informacyjne (regulaminy, informacje) 50x80</t>
  </si>
  <si>
    <t>SDIP (przyjazdy i odjazdy) 100x75</t>
  </si>
  <si>
    <t>Rozkłady jazdy 50x80</t>
  </si>
  <si>
    <t>Informacyjna wisząca( kierunkowa) 170x45</t>
  </si>
  <si>
    <t>Wycieraczka</t>
  </si>
  <si>
    <t>Uchwyt na flagi</t>
  </si>
  <si>
    <t>Stojak na rowery/Słupek rowerowy</t>
  </si>
  <si>
    <t>Zegar obustronny fi60</t>
  </si>
  <si>
    <t>Zegar na wieży fi 180</t>
  </si>
  <si>
    <t>Logotyp PKP i napis dworzec (podświetlone litery blokowe wys. 45 cm)</t>
  </si>
  <si>
    <t>TYP B</t>
  </si>
  <si>
    <t>Posadzka kamienna</t>
  </si>
  <si>
    <t>Płyty betonowe 30x30 cm</t>
  </si>
  <si>
    <t>Ściana kurtynowa - poczekalnia+lokal komercyjny</t>
  </si>
  <si>
    <t>Tyflograficzna</t>
  </si>
  <si>
    <t>Tyflograficzna naścienna</t>
  </si>
  <si>
    <t>Gablota informacyjna naścienna</t>
  </si>
  <si>
    <t>Zegar wskazówkowy (poczekalnia)</t>
  </si>
  <si>
    <t>Kosz na śmieci (poczekalnia)</t>
  </si>
  <si>
    <t>Siedziska poczekalni+półka na odłożenie bagażu</t>
  </si>
  <si>
    <t>Część techniczno - socjalna + lokal komercyjny (obudowy)</t>
  </si>
  <si>
    <t>Kosz na śmieci (łazienka)</t>
  </si>
  <si>
    <t>Kosz na śmieci (zewnętrzny)</t>
  </si>
  <si>
    <t>Robocizna</t>
  </si>
  <si>
    <t>płyta żęlbetowa B30 gr. 25 cm</t>
  </si>
  <si>
    <t>Beton</t>
  </si>
  <si>
    <t>B15</t>
  </si>
  <si>
    <t>B30</t>
  </si>
  <si>
    <t>Pompy do betonu</t>
  </si>
  <si>
    <t>m-g</t>
  </si>
  <si>
    <t>badania betonu</t>
  </si>
  <si>
    <t>akcesoria do betonowania</t>
  </si>
  <si>
    <t>Deskowania</t>
  </si>
  <si>
    <t>szalunki wynajem</t>
  </si>
  <si>
    <t>sklejka zakup</t>
  </si>
  <si>
    <t>tarcica</t>
  </si>
  <si>
    <t>zakup zbrojenia</t>
  </si>
  <si>
    <t>Konstrukcja stalowa wiaty na siatce 5,4x5,4m belki HEB220, płatwie HEB180</t>
  </si>
  <si>
    <t>Słupy HEB 220 S355, h=4m</t>
  </si>
  <si>
    <t>płyta żęlbetowa B30 gr. 20 cm</t>
  </si>
  <si>
    <t>płyta żęlbetowa B30 gr. 30 cm</t>
  </si>
  <si>
    <t>ściany żelbetowe wieży gr 20 cm</t>
  </si>
  <si>
    <t>ściany żelbetowe kiosku gr 20 cm</t>
  </si>
  <si>
    <t>dźwig</t>
  </si>
  <si>
    <t>tynkowanie</t>
  </si>
  <si>
    <t>szpachlowanie</t>
  </si>
  <si>
    <t>Tynkowanie + szpachlowanie</t>
  </si>
  <si>
    <t>pomieszczenia techniczne malowanie</t>
  </si>
  <si>
    <t>pomieszczenie komercyjne malowanie</t>
  </si>
  <si>
    <t>łazienka gres 60x30</t>
  </si>
  <si>
    <t>poczekalnia - płyta HPL</t>
  </si>
  <si>
    <t>zabudowa GK</t>
  </si>
  <si>
    <t>pomieszczenie gosp. + przedsionek  - malowanie - sufit GK</t>
  </si>
  <si>
    <t>Łazienka + przedsionek + pom. Gosp. + komercja - malowanie</t>
  </si>
  <si>
    <t>Sufit metalowy poczekalnia</t>
  </si>
  <si>
    <t>Sufit metalowy pod wiatą</t>
  </si>
  <si>
    <t>Styrodur XPS 25 cm</t>
  </si>
  <si>
    <t>jastrich cementowy zbrojony włóknem 7 cm</t>
  </si>
  <si>
    <t>przerwy dylatacyjne w posadzce poczekalni</t>
  </si>
  <si>
    <t>Posadzka kamienna płytki kierunkowe</t>
  </si>
  <si>
    <t>Płyty betonowe kierunkowe</t>
  </si>
  <si>
    <t>wpust dachowy</t>
  </si>
  <si>
    <t>rury spustowe</t>
  </si>
  <si>
    <t>attyka szerokości 1 mb</t>
  </si>
  <si>
    <t>Warstwa spadkowa z PIR</t>
  </si>
  <si>
    <t xml:space="preserve">ocieplenie z wełny mineralnej 25 cm </t>
  </si>
  <si>
    <t>Dach - pokrycie papą</t>
  </si>
  <si>
    <t>Elewacja wentylowana fibrobeton lub HPL</t>
  </si>
  <si>
    <t>Elewacja z płytek klinkierowych</t>
  </si>
  <si>
    <t>ocieplenie PIR 10 cm</t>
  </si>
  <si>
    <t>drzwi do pomieszczeń technicznych aluminiowe</t>
  </si>
  <si>
    <t>dzrwi wewnętrzne</t>
  </si>
  <si>
    <t xml:space="preserve">Stolarka </t>
  </si>
  <si>
    <t>żaluzje</t>
  </si>
  <si>
    <t>podkonstrukcja</t>
  </si>
  <si>
    <t>obróbki blacharskie</t>
  </si>
  <si>
    <t>HELI</t>
  </si>
  <si>
    <t>Heli</t>
  </si>
  <si>
    <t>Instalacje sanitarne</t>
  </si>
  <si>
    <t>Instalacje sanitarne wewnętrzne</t>
  </si>
  <si>
    <t>Instalacje sanitarne zewnętrzne</t>
  </si>
  <si>
    <t>Instalacje sanitarne zewnętrzne bez zbiornika ppoż</t>
  </si>
  <si>
    <t>sanit.</t>
  </si>
  <si>
    <t>Roboty przygotowawcze</t>
  </si>
  <si>
    <t>Dworzec tymczasowy</t>
  </si>
  <si>
    <t>transport kontenera</t>
  </si>
  <si>
    <t>przeróbka pod kasę</t>
  </si>
  <si>
    <t>wynajem kontenera</t>
  </si>
  <si>
    <t>wynajem toi toi</t>
  </si>
  <si>
    <t>wynajem umywalki</t>
  </si>
  <si>
    <t>zakup krzeseł</t>
  </si>
  <si>
    <t>sprzątanie</t>
  </si>
  <si>
    <t>materiały eksploatacyjne</t>
  </si>
  <si>
    <t>energia elektryczna</t>
  </si>
  <si>
    <t>dojścia - chodniki</t>
  </si>
  <si>
    <t>tablice kierunkowe</t>
  </si>
  <si>
    <t>Stacja rowerowa</t>
  </si>
  <si>
    <t>Zagospodarowanie terenu</t>
  </si>
  <si>
    <t>drabinka</t>
  </si>
  <si>
    <t>stopy fundamentowe B30 1,5x1,2x0,4m</t>
  </si>
  <si>
    <t>Przeciwwilgociowa powłokowa dwukomponentowa masa bitumiczna (Posadzka pom. zamknięte+ściany fundamentowe)</t>
  </si>
  <si>
    <t>pomieszczenie gosp.  - malowanie</t>
  </si>
  <si>
    <t>Styrodur XPS 20 cm</t>
  </si>
  <si>
    <t>jastrich cementowy zbrojony włóknem 5 cm</t>
  </si>
  <si>
    <t xml:space="preserve">Warstwa spadkowa </t>
  </si>
  <si>
    <t>Termoizolacja piana PIR gr. 15 cm</t>
  </si>
  <si>
    <t>przepusty</t>
  </si>
  <si>
    <t>Wełna w przestrzeni sufitowej gr. 30 cm</t>
  </si>
  <si>
    <t>drzwi do pomieszczeń technicznych</t>
  </si>
  <si>
    <t>drzwi do toalety</t>
  </si>
  <si>
    <t>wiata</t>
  </si>
  <si>
    <t>TYP A</t>
  </si>
  <si>
    <t xml:space="preserve">współcz. </t>
  </si>
  <si>
    <t>stopy fundamentowe B30 1,5x1,2x0,3m</t>
  </si>
  <si>
    <t>IZOLACJE FUNDAMENTÓW, ŚCIAN, STROPU</t>
  </si>
  <si>
    <t>pomieszczenie gosp. + pomieszcz. Tech.  - malowanie</t>
  </si>
  <si>
    <t>Łazienka malowanie</t>
  </si>
  <si>
    <t>łazienka - sufit GK</t>
  </si>
  <si>
    <t>Siedziska poczekalni</t>
  </si>
  <si>
    <t xml:space="preserve">Instalacje sanitarne zewnętrzne </t>
  </si>
  <si>
    <t>Chałupy</t>
  </si>
  <si>
    <t>Utwardzone chodniki</t>
  </si>
  <si>
    <t>trawniki</t>
  </si>
  <si>
    <t>Żelistrzewo</t>
  </si>
  <si>
    <t>Biskupice</t>
  </si>
  <si>
    <t>Janikowo</t>
  </si>
  <si>
    <t>Pobiedziska</t>
  </si>
  <si>
    <t>Wilkoszewice</t>
  </si>
  <si>
    <t>Rogów</t>
  </si>
  <si>
    <t>Gorzkowice</t>
  </si>
  <si>
    <t>Barchów</t>
  </si>
  <si>
    <t>Chrzęstne</t>
  </si>
  <si>
    <t>Dobczyn</t>
  </si>
  <si>
    <t>Przetycz</t>
  </si>
  <si>
    <t>Ząbki</t>
  </si>
  <si>
    <t>Biadoliny</t>
  </si>
  <si>
    <t>Czarna Tarnowska</t>
  </si>
  <si>
    <t>Sterkowiec</t>
  </si>
  <si>
    <t>Kanie</t>
  </si>
  <si>
    <t>Kraśnik</t>
  </si>
  <si>
    <t>Sadurki</t>
  </si>
  <si>
    <t>Świdnik</t>
  </si>
  <si>
    <t>rozbiórki</t>
  </si>
  <si>
    <t>wycinki</t>
  </si>
  <si>
    <t>budka drużnika</t>
  </si>
  <si>
    <t>remont budynku</t>
  </si>
  <si>
    <t>Roboty rozbiórkowe i remontowe</t>
  </si>
  <si>
    <t>IDS A</t>
  </si>
  <si>
    <t>IDS B</t>
  </si>
  <si>
    <t>wyburzenia + remonty</t>
  </si>
  <si>
    <t>niwelaje terenu</t>
  </si>
  <si>
    <t>Numer Konta kosztów</t>
  </si>
  <si>
    <t>OPIS</t>
  </si>
  <si>
    <t>JEDN.</t>
  </si>
  <si>
    <t>ILOŚĆ</t>
  </si>
  <si>
    <t>KOSZT JEDN. ZŁ</t>
  </si>
  <si>
    <t>PODWYKONAWCA</t>
  </si>
  <si>
    <t>KOSZT CZĄSTKOWY ZŁ</t>
  </si>
  <si>
    <t xml:space="preserve">      KOSZT        zŁ</t>
  </si>
  <si>
    <t>RAZEM
zł</t>
  </si>
  <si>
    <t>KOSZTY POŚREDNIE</t>
  </si>
  <si>
    <t>GEODEZJA I GEOTECHNIKA</t>
  </si>
  <si>
    <t>mies</t>
  </si>
  <si>
    <t>Umowa Geolidar 19000 zł</t>
  </si>
  <si>
    <t>503-78-45-00</t>
  </si>
  <si>
    <t>Obsługa geodezyjna + inwentaryzacja</t>
  </si>
  <si>
    <t>Obsługa geotechniczna (odbiór dna wykopu, itp..)</t>
  </si>
  <si>
    <t>TRANSPORT</t>
  </si>
  <si>
    <t xml:space="preserve">Umowa Trinac  </t>
  </si>
  <si>
    <t>503-78-43-80</t>
  </si>
  <si>
    <t>mg/mies</t>
  </si>
  <si>
    <t>Koparko-ładowarka</t>
  </si>
  <si>
    <t xml:space="preserve">ZAPLECZE </t>
  </si>
  <si>
    <t>503-78-41-00</t>
  </si>
  <si>
    <t>Kontenery GW</t>
  </si>
  <si>
    <t>Umowa Algeco</t>
  </si>
  <si>
    <t>Dzierżawa kont. socjalne</t>
  </si>
  <si>
    <t>szt/mies</t>
  </si>
  <si>
    <t>Dzierżawa kont. magazyn.</t>
  </si>
  <si>
    <t>Dzierżawa kont. sanitarn.</t>
  </si>
  <si>
    <t>Montaż+demontaz</t>
  </si>
  <si>
    <t>503-78-41-30</t>
  </si>
  <si>
    <t>Meble + sprzęt biurowy</t>
  </si>
  <si>
    <t>503-78-41-60</t>
  </si>
  <si>
    <t>Instalacje elektryczne</t>
  </si>
  <si>
    <t>Instalacje elektryczne - okablowanie zaplecz budowy, RB-tki, pomiary</t>
  </si>
  <si>
    <t>Instalacje bezpieczne, oświetlenie placu budowy oraz oświetlenie i okablowanie ogrodzenia</t>
  </si>
  <si>
    <t>Kanalizacja i woda</t>
  </si>
  <si>
    <t xml:space="preserve">Kanalizacja i woda - przyłącza </t>
  </si>
  <si>
    <t>Kanalizacja i woda - rozprowadzenie - teren budowy</t>
  </si>
  <si>
    <t>503-78-41-70</t>
  </si>
  <si>
    <t>Powierzchnie utwardzone</t>
  </si>
  <si>
    <t xml:space="preserve">          Drogi tymczasowe na placu budowy</t>
  </si>
  <si>
    <t xml:space="preserve">          Place składowe</t>
  </si>
  <si>
    <t>503-78-41-65</t>
  </si>
  <si>
    <t xml:space="preserve">Ogrodzenie terenu </t>
  </si>
  <si>
    <t xml:space="preserve">          Ogrodzenie - dzierżawa</t>
  </si>
  <si>
    <t>Inne</t>
  </si>
  <si>
    <t>Tablica informacyjna</t>
  </si>
  <si>
    <t xml:space="preserve">KOSZTY FUNKCJONOWANIA </t>
  </si>
  <si>
    <t>503-78-42-50</t>
  </si>
  <si>
    <t>Telefony i internet</t>
  </si>
  <si>
    <t>503-78-42-30</t>
  </si>
  <si>
    <t>Sprzęt biurowy - obsługa, konserwacja</t>
  </si>
  <si>
    <t>503-78-42-20</t>
  </si>
  <si>
    <t>Materiały biurowe</t>
  </si>
  <si>
    <t>Środki czystości + art. spożywcze</t>
  </si>
  <si>
    <t>Sprzątanie biur</t>
  </si>
  <si>
    <t>503-78-42-60</t>
  </si>
  <si>
    <t>Wywóz śmieci, zwałki</t>
  </si>
  <si>
    <t>503-78-42-05</t>
  </si>
  <si>
    <t>Elektryczność</t>
  </si>
  <si>
    <t>503-78-42-00</t>
  </si>
  <si>
    <t xml:space="preserve">Woda, kanalizacja </t>
  </si>
  <si>
    <t>503-78-44-40</t>
  </si>
  <si>
    <t>Paliwo do sprzętu</t>
  </si>
  <si>
    <t>Drobne materiały elekt. i hydraul.</t>
  </si>
  <si>
    <t>503-78-42-80</t>
  </si>
  <si>
    <t>BHP (kaski, taśmy, barierki)</t>
  </si>
  <si>
    <t>KADRA TECHNICZNA</t>
  </si>
  <si>
    <t>503-78-72-00</t>
  </si>
  <si>
    <t>Kadra techniczna</t>
  </si>
  <si>
    <t>ilośc/mies</t>
  </si>
  <si>
    <t>503-78-72-10</t>
  </si>
  <si>
    <t>Nadzór techniczny budowy</t>
  </si>
  <si>
    <t>503-78-72-20</t>
  </si>
  <si>
    <t>Paliwo samochodów służbowych</t>
  </si>
  <si>
    <t>503-78-72-30</t>
  </si>
  <si>
    <t>Eksploatacja samochodów służbowych</t>
  </si>
  <si>
    <t>503-78-72-40</t>
  </si>
  <si>
    <t>PKP</t>
  </si>
  <si>
    <t>Zakwaterowanie</t>
  </si>
  <si>
    <t>Wsparcie brażowe</t>
  </si>
  <si>
    <t>POZOSTAŁE KOSZTY</t>
  </si>
  <si>
    <t>dokumentacja powykonawcza</t>
  </si>
  <si>
    <t>projekt zajęcia pasa drogowego + oznakowanie</t>
  </si>
  <si>
    <t>zajęcie pasa drogowego</t>
  </si>
  <si>
    <t>503-78-42-70</t>
  </si>
  <si>
    <t>ochrona</t>
  </si>
  <si>
    <t>instrukcja bezpieczeństwa pożarowego i plan ewakuacji</t>
  </si>
  <si>
    <t>503-78-91-00</t>
  </si>
  <si>
    <t>koszt gwarancji i ubezpieczeń</t>
  </si>
  <si>
    <t>503-78-91-30</t>
  </si>
  <si>
    <t>serwis</t>
  </si>
  <si>
    <t>dzierżawa terenu</t>
  </si>
  <si>
    <t xml:space="preserve">koszty pośrednie </t>
  </si>
  <si>
    <t>Dworce tymczasowe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</si>
</sst>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[$zł-415];[Red]\-#,##0.00\ [$zł-415]"/>
    <numFmt numFmtId="166" formatCode="_-* #,##0.00\ _z_ł_-;\-* #,##0.00\ _z_ł_-;_-* \-??\ _z_ł_-;_-@_-"/>
    <numFmt numFmtId="167" formatCode="#,##0.00\ &quot;zł&quot;"/>
    <numFmt numFmtId="168" formatCode="0&quot; zł/m2&quot;"/>
    <numFmt numFmtId="169" formatCode="0&quot; m2&quot;"/>
    <numFmt numFmtId="170" formatCode="#,##0.00\ _z_ł"/>
  </numFmts>
  <fonts count="26">
    <font>
      <sz val="10"/>
      <color indexed="64"/>
      <name val="Arial"/>
      <charset val="1"/>
    </font>
    <font>
      <sz val="8"/>
      <color indexed="64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Geneva CE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Calibri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indexed="64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6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13"/>
      </patternFill>
    </fill>
    <fill>
      <patternFill patternType="solid">
        <fgColor indexed="9"/>
        <bgColor indexed="13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thick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165" fontId="23" fillId="0" borderId="0"/>
    <xf numFmtId="165" fontId="5" fillId="0" borderId="0"/>
  </cellStyleXfs>
  <cellXfs count="307">
    <xf numFmtId="0" fontId="0" fillId="0" borderId="0" xfId="0"/>
    <xf numFmtId="0" fontId="8" fillId="2" borderId="1" xfId="2" applyFont="1" applyFill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2" fillId="0" borderId="0" xfId="0" applyFont="1"/>
    <xf numFmtId="4" fontId="8" fillId="6" borderId="0" xfId="2" applyNumberFormat="1" applyFont="1" applyFill="1" applyAlignment="1">
      <alignment horizontal="center" vertical="center" wrapText="1"/>
    </xf>
    <xf numFmtId="4" fontId="4" fillId="6" borderId="0" xfId="2" applyNumberFormat="1" applyFont="1" applyFill="1" applyAlignment="1">
      <alignment horizontal="right" vertical="center" wrapText="1"/>
    </xf>
    <xf numFmtId="0" fontId="3" fillId="7" borderId="5" xfId="2" applyFont="1" applyFill="1" applyBorder="1" applyAlignment="1">
      <alignment vertical="center" wrapText="1"/>
    </xf>
    <xf numFmtId="165" fontId="3" fillId="7" borderId="6" xfId="0" applyNumberFormat="1" applyFont="1" applyFill="1" applyBorder="1" applyAlignment="1">
      <alignment vertical="center"/>
    </xf>
    <xf numFmtId="0" fontId="9" fillId="7" borderId="30" xfId="2" applyFont="1" applyFill="1" applyBorder="1" applyAlignment="1">
      <alignment horizontal="right" vertical="center" wrapText="1"/>
    </xf>
    <xf numFmtId="166" fontId="3" fillId="7" borderId="31" xfId="1" applyNumberFormat="1" applyFont="1" applyFill="1" applyBorder="1" applyAlignment="1">
      <alignment vertical="center" wrapText="1"/>
    </xf>
    <xf numFmtId="0" fontId="4" fillId="0" borderId="15" xfId="2" applyFont="1" applyBorder="1" applyAlignment="1">
      <alignment horizontal="right" vertical="center" wrapText="1"/>
    </xf>
    <xf numFmtId="0" fontId="9" fillId="7" borderId="34" xfId="2" applyFont="1" applyFill="1" applyBorder="1" applyAlignment="1">
      <alignment horizontal="right" vertical="center" wrapText="1"/>
    </xf>
    <xf numFmtId="165" fontId="3" fillId="7" borderId="19" xfId="0" applyNumberFormat="1" applyFont="1" applyFill="1" applyBorder="1" applyAlignment="1">
      <alignment vertical="center"/>
    </xf>
    <xf numFmtId="166" fontId="3" fillId="7" borderId="35" xfId="1" applyNumberFormat="1" applyFont="1" applyFill="1" applyBorder="1" applyAlignment="1">
      <alignment vertical="center" wrapText="1"/>
    </xf>
    <xf numFmtId="0" fontId="9" fillId="8" borderId="15" xfId="2" applyFont="1" applyFill="1" applyBorder="1" applyAlignment="1">
      <alignment horizontal="right" vertical="center" wrapText="1"/>
    </xf>
    <xf numFmtId="0" fontId="4" fillId="8" borderId="30" xfId="2" applyFont="1" applyFill="1" applyBorder="1" applyAlignment="1">
      <alignment horizontal="right" vertical="center" wrapText="1"/>
    </xf>
    <xf numFmtId="0" fontId="3" fillId="8" borderId="5" xfId="2" applyFont="1" applyFill="1" applyBorder="1" applyAlignment="1">
      <alignment vertical="center" wrapText="1"/>
    </xf>
    <xf numFmtId="165" fontId="3" fillId="8" borderId="6" xfId="0" applyNumberFormat="1" applyFont="1" applyFill="1" applyBorder="1" applyAlignment="1">
      <alignment vertical="center"/>
    </xf>
    <xf numFmtId="166" fontId="3" fillId="8" borderId="31" xfId="1" applyNumberFormat="1" applyFont="1" applyFill="1" applyBorder="1" applyAlignment="1">
      <alignment vertical="center" wrapText="1"/>
    </xf>
    <xf numFmtId="4" fontId="12" fillId="5" borderId="39" xfId="2" applyNumberFormat="1" applyFont="1" applyFill="1" applyBorder="1" applyAlignment="1">
      <alignment horizontal="left" vertical="center" wrapText="1"/>
    </xf>
    <xf numFmtId="3" fontId="4" fillId="5" borderId="41" xfId="2" applyNumberFormat="1" applyFont="1" applyFill="1" applyBorder="1" applyAlignment="1">
      <alignment horizontal="right" vertical="center" wrapText="1"/>
    </xf>
    <xf numFmtId="0" fontId="3" fillId="7" borderId="14" xfId="2" applyFont="1" applyFill="1" applyBorder="1" applyAlignment="1">
      <alignment vertical="center" wrapText="1"/>
    </xf>
    <xf numFmtId="165" fontId="3" fillId="7" borderId="21" xfId="0" applyNumberFormat="1" applyFont="1" applyFill="1" applyBorder="1" applyAlignment="1">
      <alignment vertical="center"/>
    </xf>
    <xf numFmtId="0" fontId="9" fillId="10" borderId="33" xfId="2" applyFont="1" applyFill="1" applyBorder="1" applyAlignment="1">
      <alignment horizontal="right" vertical="center" wrapText="1"/>
    </xf>
    <xf numFmtId="0" fontId="3" fillId="2" borderId="42" xfId="2" applyFont="1" applyFill="1" applyBorder="1" applyAlignment="1">
      <alignment horizontal="left" vertical="center" wrapText="1"/>
    </xf>
    <xf numFmtId="165" fontId="8" fillId="2" borderId="43" xfId="2" applyNumberFormat="1" applyFont="1" applyFill="1" applyBorder="1" applyAlignment="1">
      <alignment vertical="center"/>
    </xf>
    <xf numFmtId="165" fontId="3" fillId="2" borderId="45" xfId="2" applyNumberFormat="1" applyFont="1" applyFill="1" applyBorder="1" applyAlignment="1">
      <alignment horizontal="right" vertical="center" wrapText="1"/>
    </xf>
    <xf numFmtId="165" fontId="3" fillId="2" borderId="43" xfId="2" applyNumberFormat="1" applyFont="1" applyFill="1" applyBorder="1" applyAlignment="1">
      <alignment horizontal="right" vertical="center" wrapText="1"/>
    </xf>
    <xf numFmtId="0" fontId="3" fillId="2" borderId="43" xfId="2" applyFont="1" applyFill="1" applyBorder="1" applyAlignment="1">
      <alignment vertical="center" wrapText="1"/>
    </xf>
    <xf numFmtId="0" fontId="9" fillId="0" borderId="44" xfId="2" applyFont="1" applyBorder="1" applyAlignment="1">
      <alignment horizontal="right" vertical="center" wrapText="1"/>
    </xf>
    <xf numFmtId="0" fontId="3" fillId="10" borderId="40" xfId="2" applyFont="1" applyFill="1" applyBorder="1" applyAlignment="1">
      <alignment vertical="center" wrapText="1"/>
    </xf>
    <xf numFmtId="165" fontId="3" fillId="10" borderId="40" xfId="0" applyNumberFormat="1" applyFont="1" applyFill="1" applyBorder="1" applyAlignment="1">
      <alignment vertical="center"/>
    </xf>
    <xf numFmtId="166" fontId="3" fillId="10" borderId="38" xfId="1" applyNumberFormat="1" applyFont="1" applyFill="1" applyBorder="1" applyAlignment="1">
      <alignment vertical="center" wrapText="1"/>
    </xf>
    <xf numFmtId="0" fontId="3" fillId="2" borderId="42" xfId="2" applyFont="1" applyFill="1" applyBorder="1" applyAlignment="1">
      <alignment horizontal="center" vertical="center" wrapText="1"/>
    </xf>
    <xf numFmtId="4" fontId="3" fillId="2" borderId="43" xfId="2" applyNumberFormat="1" applyFont="1" applyFill="1" applyBorder="1" applyAlignment="1">
      <alignment horizontal="center" vertical="center" wrapText="1"/>
    </xf>
    <xf numFmtId="165" fontId="3" fillId="7" borderId="36" xfId="0" applyNumberFormat="1" applyFont="1" applyFill="1" applyBorder="1" applyAlignment="1">
      <alignment vertical="center"/>
    </xf>
    <xf numFmtId="4" fontId="4" fillId="5" borderId="41" xfId="2" applyNumberFormat="1" applyFont="1" applyFill="1" applyBorder="1" applyAlignment="1">
      <alignment horizontal="right" vertical="center" wrapText="1"/>
    </xf>
    <xf numFmtId="4" fontId="12" fillId="3" borderId="23" xfId="2" applyNumberFormat="1" applyFont="1" applyFill="1" applyBorder="1" applyAlignment="1">
      <alignment horizontal="right" vertical="center" wrapText="1"/>
    </xf>
    <xf numFmtId="165" fontId="12" fillId="3" borderId="1" xfId="2" applyNumberFormat="1" applyFont="1" applyFill="1" applyBorder="1" applyAlignment="1">
      <alignment horizontal="right" vertical="center" wrapText="1"/>
    </xf>
    <xf numFmtId="44" fontId="13" fillId="9" borderId="26" xfId="3" applyFont="1" applyFill="1" applyBorder="1" applyAlignment="1">
      <alignment horizontal="center" vertical="center" wrapText="1"/>
    </xf>
    <xf numFmtId="2" fontId="8" fillId="3" borderId="15" xfId="0" applyNumberFormat="1" applyFont="1" applyFill="1" applyBorder="1" applyAlignment="1">
      <alignment horizontal="right" vertical="center" wrapText="1"/>
    </xf>
    <xf numFmtId="2" fontId="8" fillId="4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165" fontId="3" fillId="2" borderId="46" xfId="2" applyNumberFormat="1" applyFont="1" applyFill="1" applyBorder="1" applyAlignment="1">
      <alignment horizontal="center" vertical="center" wrapText="1"/>
    </xf>
    <xf numFmtId="4" fontId="3" fillId="10" borderId="27" xfId="0" applyNumberFormat="1" applyFont="1" applyFill="1" applyBorder="1" applyAlignment="1">
      <alignment horizontal="right" vertical="center" wrapText="1"/>
    </xf>
    <xf numFmtId="4" fontId="3" fillId="7" borderId="26" xfId="0" applyNumberFormat="1" applyFont="1" applyFill="1" applyBorder="1" applyAlignment="1">
      <alignment horizontal="right" vertical="center" wrapText="1"/>
    </xf>
    <xf numFmtId="4" fontId="3" fillId="8" borderId="26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10" borderId="33" xfId="0" applyFont="1" applyFill="1" applyBorder="1" applyAlignment="1">
      <alignment horizontal="left" vertical="center" wrapText="1"/>
    </xf>
    <xf numFmtId="0" fontId="8" fillId="10" borderId="37" xfId="0" applyFont="1" applyFill="1" applyBorder="1" applyAlignment="1">
      <alignment vertical="center"/>
    </xf>
    <xf numFmtId="0" fontId="8" fillId="10" borderId="40" xfId="0" applyFont="1" applyFill="1" applyBorder="1" applyAlignment="1">
      <alignment vertical="center"/>
    </xf>
    <xf numFmtId="165" fontId="3" fillId="10" borderId="38" xfId="0" applyNumberFormat="1" applyFont="1" applyFill="1" applyBorder="1" applyAlignment="1">
      <alignment horizontal="right" vertical="center"/>
    </xf>
    <xf numFmtId="0" fontId="2" fillId="10" borderId="0" xfId="0" applyFont="1" applyFill="1" applyAlignment="1">
      <alignment vertical="center"/>
    </xf>
    <xf numFmtId="0" fontId="10" fillId="7" borderId="34" xfId="0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165" fontId="3" fillId="7" borderId="19" xfId="0" applyNumberFormat="1" applyFont="1" applyFill="1" applyBorder="1" applyAlignment="1">
      <alignment horizontal="right" vertical="center"/>
    </xf>
    <xf numFmtId="0" fontId="2" fillId="7" borderId="0" xfId="0" applyFont="1" applyFill="1" applyAlignment="1">
      <alignment vertical="center"/>
    </xf>
    <xf numFmtId="0" fontId="10" fillId="8" borderId="7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vertical="center"/>
    </xf>
    <xf numFmtId="0" fontId="8" fillId="8" borderId="9" xfId="0" applyFont="1" applyFill="1" applyBorder="1" applyAlignment="1">
      <alignment vertical="center"/>
    </xf>
    <xf numFmtId="165" fontId="3" fillId="8" borderId="6" xfId="0" applyNumberFormat="1" applyFont="1" applyFill="1" applyBorder="1" applyAlignment="1">
      <alignment horizontal="right" vertical="center"/>
    </xf>
    <xf numFmtId="0" fontId="2" fillId="8" borderId="0" xfId="0" applyFont="1" applyFill="1" applyAlignment="1">
      <alignment vertical="center"/>
    </xf>
    <xf numFmtId="0" fontId="11" fillId="0" borderId="12" xfId="0" applyFont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2" fontId="8" fillId="3" borderId="14" xfId="0" applyNumberFormat="1" applyFont="1" applyFill="1" applyBorder="1" applyAlignment="1">
      <alignment horizontal="right" vertical="center" wrapText="1"/>
    </xf>
    <xf numFmtId="2" fontId="8" fillId="3" borderId="16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/>
    </xf>
    <xf numFmtId="166" fontId="3" fillId="0" borderId="32" xfId="1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vertical="center" wrapText="1"/>
    </xf>
    <xf numFmtId="0" fontId="8" fillId="4" borderId="3" xfId="0" applyFont="1" applyFill="1" applyBorder="1" applyAlignment="1">
      <alignment horizontal="right" vertical="center"/>
    </xf>
    <xf numFmtId="0" fontId="10" fillId="7" borderId="29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165" fontId="3" fillId="7" borderId="6" xfId="0" applyNumberFormat="1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right" vertical="center"/>
    </xf>
    <xf numFmtId="2" fontId="8" fillId="8" borderId="4" xfId="0" applyNumberFormat="1" applyFont="1" applyFill="1" applyBorder="1" applyAlignment="1">
      <alignment horizontal="right" vertical="center"/>
    </xf>
    <xf numFmtId="0" fontId="8" fillId="8" borderId="5" xfId="2" applyFont="1" applyFill="1" applyBorder="1" applyAlignment="1">
      <alignment horizontal="right" vertical="center" wrapText="1"/>
    </xf>
    <xf numFmtId="165" fontId="8" fillId="8" borderId="6" xfId="0" applyNumberFormat="1" applyFont="1" applyFill="1" applyBorder="1" applyAlignment="1">
      <alignment horizontal="right" vertical="center"/>
    </xf>
    <xf numFmtId="166" fontId="3" fillId="8" borderId="31" xfId="1" applyNumberFormat="1" applyFont="1" applyFill="1" applyBorder="1" applyAlignment="1">
      <alignment horizontal="right" vertical="center" wrapText="1"/>
    </xf>
    <xf numFmtId="0" fontId="11" fillId="0" borderId="20" xfId="0" applyFont="1" applyBorder="1" applyAlignment="1">
      <alignment horizontal="left" vertical="center" wrapText="1"/>
    </xf>
    <xf numFmtId="166" fontId="3" fillId="0" borderId="31" xfId="1" applyNumberFormat="1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/>
    </xf>
    <xf numFmtId="0" fontId="10" fillId="7" borderId="7" xfId="0" applyFont="1" applyFill="1" applyBorder="1" applyAlignment="1">
      <alignment horizontal="left" vertical="center" wrapText="1"/>
    </xf>
    <xf numFmtId="0" fontId="14" fillId="8" borderId="12" xfId="0" applyFont="1" applyFill="1" applyBorder="1" applyAlignment="1">
      <alignment horizontal="left" vertical="center" wrapText="1"/>
    </xf>
    <xf numFmtId="166" fontId="8" fillId="0" borderId="31" xfId="1" applyNumberFormat="1" applyFont="1" applyBorder="1" applyAlignment="1">
      <alignment horizontal="right" vertical="center" wrapText="1"/>
    </xf>
    <xf numFmtId="0" fontId="10" fillId="7" borderId="7" xfId="0" applyFont="1" applyFill="1" applyBorder="1" applyAlignment="1">
      <alignment vertical="center" wrapText="1"/>
    </xf>
    <xf numFmtId="0" fontId="10" fillId="7" borderId="12" xfId="0" applyFont="1" applyFill="1" applyBorder="1" applyAlignment="1">
      <alignment horizontal="left" vertical="center" wrapText="1"/>
    </xf>
    <xf numFmtId="4" fontId="8" fillId="5" borderId="39" xfId="2" applyNumberFormat="1" applyFont="1" applyFill="1" applyBorder="1" applyAlignment="1">
      <alignment horizontal="right" vertical="center" wrapText="1"/>
    </xf>
    <xf numFmtId="4" fontId="8" fillId="5" borderId="0" xfId="2" applyNumberFormat="1" applyFont="1" applyFill="1" applyAlignment="1">
      <alignment horizontal="right" vertical="center" wrapText="1"/>
    </xf>
    <xf numFmtId="4" fontId="3" fillId="5" borderId="39" xfId="2" applyNumberFormat="1" applyFont="1" applyFill="1" applyBorder="1" applyAlignment="1">
      <alignment horizontal="right" vertical="center" wrapText="1"/>
    </xf>
    <xf numFmtId="165" fontId="3" fillId="5" borderId="39" xfId="2" applyNumberFormat="1" applyFont="1" applyFill="1" applyBorder="1" applyAlignment="1">
      <alignment horizontal="right" vertical="center" wrapText="1"/>
    </xf>
    <xf numFmtId="165" fontId="8" fillId="5" borderId="40" xfId="2" applyNumberFormat="1" applyFont="1" applyFill="1" applyBorder="1" applyAlignment="1">
      <alignment horizontal="right" vertical="center" wrapText="1"/>
    </xf>
    <xf numFmtId="4" fontId="8" fillId="6" borderId="0" xfId="2" applyNumberFormat="1" applyFont="1" applyFill="1" applyAlignment="1">
      <alignment horizontal="right" vertical="center" wrapText="1"/>
    </xf>
    <xf numFmtId="4" fontId="8" fillId="3" borderId="1" xfId="2" applyNumberFormat="1" applyFont="1" applyFill="1" applyBorder="1" applyAlignment="1">
      <alignment horizontal="right" vertical="center" wrapText="1"/>
    </xf>
    <xf numFmtId="4" fontId="12" fillId="3" borderId="24" xfId="2" applyNumberFormat="1" applyFont="1" applyFill="1" applyBorder="1" applyAlignment="1">
      <alignment horizontal="right" vertical="center" wrapText="1"/>
    </xf>
    <xf numFmtId="165" fontId="12" fillId="3" borderId="25" xfId="2" applyNumberFormat="1" applyFont="1" applyFill="1" applyBorder="1" applyAlignment="1">
      <alignment horizontal="right" vertical="center" wrapText="1"/>
    </xf>
    <xf numFmtId="4" fontId="8" fillId="3" borderId="25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0" fontId="8" fillId="0" borderId="0" xfId="0" applyNumberFormat="1" applyFont="1" applyAlignment="1">
      <alignment horizontal="right" vertical="center"/>
    </xf>
    <xf numFmtId="44" fontId="11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165" fontId="8" fillId="0" borderId="47" xfId="0" applyNumberFormat="1" applyFont="1" applyBorder="1" applyAlignment="1">
      <alignment vertical="center"/>
    </xf>
    <xf numFmtId="44" fontId="13" fillId="3" borderId="26" xfId="3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vertical="center" wrapText="1"/>
    </xf>
    <xf numFmtId="165" fontId="3" fillId="0" borderId="19" xfId="0" applyNumberFormat="1" applyFont="1" applyBorder="1" applyAlignment="1">
      <alignment vertical="center" wrapText="1"/>
    </xf>
    <xf numFmtId="166" fontId="3" fillId="7" borderId="31" xfId="1" applyNumberFormat="1" applyFont="1" applyFill="1" applyBorder="1" applyAlignment="1">
      <alignment horizontal="left" vertical="center"/>
    </xf>
    <xf numFmtId="2" fontId="2" fillId="0" borderId="0" xfId="0" applyNumberFormat="1" applyFont="1" applyAlignment="1">
      <alignment vertical="center"/>
    </xf>
    <xf numFmtId="2" fontId="15" fillId="4" borderId="4" xfId="0" applyNumberFormat="1" applyFont="1" applyFill="1" applyBorder="1" applyAlignment="1">
      <alignment horizontal="right" vertical="center"/>
    </xf>
    <xf numFmtId="2" fontId="15" fillId="3" borderId="14" xfId="0" applyNumberFormat="1" applyFont="1" applyFill="1" applyBorder="1" applyAlignment="1">
      <alignment horizontal="right" vertical="center" wrapText="1"/>
    </xf>
    <xf numFmtId="2" fontId="15" fillId="3" borderId="15" xfId="0" applyNumberFormat="1" applyFont="1" applyFill="1" applyBorder="1" applyAlignment="1">
      <alignment horizontal="right" vertical="center" wrapText="1"/>
    </xf>
    <xf numFmtId="2" fontId="15" fillId="3" borderId="16" xfId="0" applyNumberFormat="1" applyFont="1" applyFill="1" applyBorder="1" applyAlignment="1">
      <alignment horizontal="right" vertical="center" wrapText="1"/>
    </xf>
    <xf numFmtId="0" fontId="15" fillId="0" borderId="5" xfId="2" applyFont="1" applyBorder="1" applyAlignment="1">
      <alignment horizontal="right" vertical="center" wrapText="1"/>
    </xf>
    <xf numFmtId="2" fontId="8" fillId="3" borderId="0" xfId="0" applyNumberFormat="1" applyFont="1" applyFill="1" applyAlignment="1">
      <alignment horizontal="right" vertical="center" wrapText="1"/>
    </xf>
    <xf numFmtId="0" fontId="17" fillId="0" borderId="0" xfId="0" applyFont="1"/>
    <xf numFmtId="167" fontId="17" fillId="0" borderId="0" xfId="0" applyNumberFormat="1" applyFont="1"/>
    <xf numFmtId="0" fontId="3" fillId="0" borderId="28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167" fontId="17" fillId="0" borderId="0" xfId="0" applyNumberFormat="1" applyFont="1" applyAlignment="1">
      <alignment wrapText="1"/>
    </xf>
    <xf numFmtId="0" fontId="8" fillId="0" borderId="28" xfId="0" applyFont="1" applyBorder="1" applyAlignment="1">
      <alignment horizontal="center"/>
    </xf>
    <xf numFmtId="0" fontId="8" fillId="0" borderId="28" xfId="0" applyFont="1" applyBorder="1"/>
    <xf numFmtId="4" fontId="8" fillId="0" borderId="28" xfId="0" applyNumberFormat="1" applyFont="1" applyBorder="1"/>
    <xf numFmtId="167" fontId="8" fillId="0" borderId="28" xfId="0" applyNumberFormat="1" applyFont="1" applyBorder="1"/>
    <xf numFmtId="169" fontId="2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8" fillId="0" borderId="28" xfId="0" applyFont="1" applyBorder="1" applyAlignment="1">
      <alignment horizontal="center" vertical="top"/>
    </xf>
    <xf numFmtId="0" fontId="8" fillId="0" borderId="28" xfId="0" applyFont="1" applyBorder="1" applyAlignment="1">
      <alignment wrapText="1"/>
    </xf>
    <xf numFmtId="167" fontId="8" fillId="0" borderId="28" xfId="0" applyNumberFormat="1" applyFont="1" applyBorder="1" applyAlignment="1">
      <alignment wrapText="1"/>
    </xf>
    <xf numFmtId="167" fontId="2" fillId="0" borderId="0" xfId="0" applyNumberFormat="1" applyFont="1"/>
    <xf numFmtId="0" fontId="3" fillId="0" borderId="28" xfId="0" applyFont="1" applyBorder="1" applyAlignment="1">
      <alignment horizontal="right"/>
    </xf>
    <xf numFmtId="167" fontId="3" fillId="0" borderId="28" xfId="0" applyNumberFormat="1" applyFont="1" applyBorder="1" applyAlignment="1">
      <alignment horizontal="right"/>
    </xf>
    <xf numFmtId="167" fontId="3" fillId="11" borderId="28" xfId="0" applyNumberFormat="1" applyFont="1" applyFill="1" applyBorder="1"/>
    <xf numFmtId="0" fontId="17" fillId="0" borderId="0" xfId="0" quotePrefix="1" applyFont="1"/>
    <xf numFmtId="0" fontId="17" fillId="0" borderId="0" xfId="0" applyFont="1" applyAlignment="1">
      <alignment horizontal="center"/>
    </xf>
    <xf numFmtId="170" fontId="2" fillId="0" borderId="0" xfId="0" applyNumberFormat="1" applyFont="1"/>
    <xf numFmtId="167" fontId="8" fillId="0" borderId="0" xfId="0" applyNumberFormat="1" applyFont="1" applyAlignment="1">
      <alignment wrapText="1"/>
    </xf>
    <xf numFmtId="167" fontId="4" fillId="0" borderId="0" xfId="0" applyNumberFormat="1" applyFont="1"/>
    <xf numFmtId="165" fontId="8" fillId="7" borderId="9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165" fontId="8" fillId="0" borderId="19" xfId="0" applyNumberFormat="1" applyFont="1" applyBorder="1" applyAlignment="1">
      <alignment horizontal="right" vertical="center"/>
    </xf>
    <xf numFmtId="2" fontId="18" fillId="4" borderId="4" xfId="0" applyNumberFormat="1" applyFont="1" applyFill="1" applyBorder="1" applyAlignment="1">
      <alignment horizontal="right" vertical="center"/>
    </xf>
    <xf numFmtId="165" fontId="19" fillId="2" borderId="44" xfId="2" applyNumberFormat="1" applyFont="1" applyFill="1" applyBorder="1" applyAlignment="1">
      <alignment horizontal="center" vertical="center" wrapText="1"/>
    </xf>
    <xf numFmtId="2" fontId="15" fillId="10" borderId="37" xfId="0" applyNumberFormat="1" applyFont="1" applyFill="1" applyBorder="1" applyAlignment="1">
      <alignment horizontal="right" vertical="center" wrapText="1"/>
    </xf>
    <xf numFmtId="2" fontId="15" fillId="7" borderId="15" xfId="0" applyNumberFormat="1" applyFont="1" applyFill="1" applyBorder="1" applyAlignment="1">
      <alignment horizontal="right" vertical="center" wrapText="1"/>
    </xf>
    <xf numFmtId="2" fontId="15" fillId="8" borderId="10" xfId="0" applyNumberFormat="1" applyFont="1" applyFill="1" applyBorder="1" applyAlignment="1">
      <alignment horizontal="right" vertical="center" wrapText="1"/>
    </xf>
    <xf numFmtId="2" fontId="15" fillId="7" borderId="10" xfId="0" applyNumberFormat="1" applyFont="1" applyFill="1" applyBorder="1" applyAlignment="1">
      <alignment horizontal="right" vertical="center" wrapText="1"/>
    </xf>
    <xf numFmtId="2" fontId="15" fillId="9" borderId="15" xfId="0" applyNumberFormat="1" applyFont="1" applyFill="1" applyBorder="1" applyAlignment="1">
      <alignment horizontal="right" vertical="center" wrapText="1"/>
    </xf>
    <xf numFmtId="4" fontId="15" fillId="5" borderId="39" xfId="2" applyNumberFormat="1" applyFont="1" applyFill="1" applyBorder="1" applyAlignment="1">
      <alignment horizontal="right" vertical="center" wrapText="1"/>
    </xf>
    <xf numFmtId="4" fontId="15" fillId="6" borderId="0" xfId="2" applyNumberFormat="1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5" fontId="19" fillId="2" borderId="42" xfId="2" applyNumberFormat="1" applyFont="1" applyFill="1" applyBorder="1" applyAlignment="1">
      <alignment horizontal="center" vertical="center" wrapText="1"/>
    </xf>
    <xf numFmtId="2" fontId="15" fillId="10" borderId="40" xfId="0" applyNumberFormat="1" applyFont="1" applyFill="1" applyBorder="1" applyAlignment="1">
      <alignment horizontal="right" vertical="center" wrapText="1"/>
    </xf>
    <xf numFmtId="2" fontId="15" fillId="7" borderId="16" xfId="0" applyNumberFormat="1" applyFont="1" applyFill="1" applyBorder="1" applyAlignment="1">
      <alignment horizontal="right" vertical="center" wrapText="1"/>
    </xf>
    <xf numFmtId="2" fontId="15" fillId="8" borderId="11" xfId="0" applyNumberFormat="1" applyFont="1" applyFill="1" applyBorder="1" applyAlignment="1">
      <alignment horizontal="right" vertical="center" wrapText="1"/>
    </xf>
    <xf numFmtId="2" fontId="15" fillId="7" borderId="11" xfId="0" applyNumberFormat="1" applyFont="1" applyFill="1" applyBorder="1" applyAlignment="1">
      <alignment horizontal="right" vertical="center" wrapText="1"/>
    </xf>
    <xf numFmtId="2" fontId="15" fillId="9" borderId="16" xfId="0" applyNumberFormat="1" applyFont="1" applyFill="1" applyBorder="1" applyAlignment="1">
      <alignment horizontal="right" vertical="center" wrapText="1"/>
    </xf>
    <xf numFmtId="2" fontId="15" fillId="4" borderId="50" xfId="0" applyNumberFormat="1" applyFont="1" applyFill="1" applyBorder="1" applyAlignment="1">
      <alignment horizontal="right" vertical="center"/>
    </xf>
    <xf numFmtId="2" fontId="15" fillId="9" borderId="22" xfId="0" applyNumberFormat="1" applyFont="1" applyFill="1" applyBorder="1" applyAlignment="1">
      <alignment horizontal="right" vertical="center" wrapText="1"/>
    </xf>
    <xf numFmtId="2" fontId="19" fillId="2" borderId="42" xfId="2" applyNumberFormat="1" applyFont="1" applyFill="1" applyBorder="1" applyAlignment="1">
      <alignment horizontal="center" vertical="center" wrapText="1"/>
    </xf>
    <xf numFmtId="2" fontId="19" fillId="10" borderId="40" xfId="0" applyNumberFormat="1" applyFont="1" applyFill="1" applyBorder="1" applyAlignment="1">
      <alignment horizontal="center" vertical="center" wrapText="1"/>
    </xf>
    <xf numFmtId="2" fontId="19" fillId="7" borderId="14" xfId="0" applyNumberFormat="1" applyFont="1" applyFill="1" applyBorder="1" applyAlignment="1">
      <alignment horizontal="center" vertical="center" wrapText="1"/>
    </xf>
    <xf numFmtId="2" fontId="19" fillId="8" borderId="5" xfId="0" applyNumberFormat="1" applyFont="1" applyFill="1" applyBorder="1" applyAlignment="1">
      <alignment horizontal="center" vertical="center" wrapText="1"/>
    </xf>
    <xf numFmtId="2" fontId="19" fillId="7" borderId="5" xfId="0" applyNumberFormat="1" applyFont="1" applyFill="1" applyBorder="1" applyAlignment="1">
      <alignment horizontal="center" vertical="center" wrapText="1"/>
    </xf>
    <xf numFmtId="2" fontId="15" fillId="9" borderId="14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2" fontId="8" fillId="4" borderId="13" xfId="0" applyNumberFormat="1" applyFont="1" applyFill="1" applyBorder="1" applyAlignment="1">
      <alignment horizontal="right" vertical="center"/>
    </xf>
    <xf numFmtId="166" fontId="3" fillId="0" borderId="31" xfId="1" applyNumberFormat="1" applyFont="1" applyBorder="1" applyAlignment="1">
      <alignment horizontal="left" vertical="center"/>
    </xf>
    <xf numFmtId="2" fontId="15" fillId="8" borderId="4" xfId="0" applyNumberFormat="1" applyFont="1" applyFill="1" applyBorder="1" applyAlignment="1">
      <alignment horizontal="right" vertical="center"/>
    </xf>
    <xf numFmtId="2" fontId="18" fillId="8" borderId="4" xfId="0" applyNumberFormat="1" applyFont="1" applyFill="1" applyBorder="1" applyAlignment="1">
      <alignment horizontal="right" vertical="center"/>
    </xf>
    <xf numFmtId="0" fontId="21" fillId="8" borderId="15" xfId="2" applyFont="1" applyFill="1" applyBorder="1" applyAlignment="1">
      <alignment horizontal="right" vertical="center" wrapText="1"/>
    </xf>
    <xf numFmtId="0" fontId="22" fillId="0" borderId="15" xfId="2" applyFont="1" applyBorder="1" applyAlignment="1">
      <alignment horizontal="right" vertical="center" wrapText="1"/>
    </xf>
    <xf numFmtId="44" fontId="2" fillId="0" borderId="0" xfId="0" applyNumberFormat="1" applyFont="1" applyAlignment="1">
      <alignment vertical="center"/>
    </xf>
    <xf numFmtId="2" fontId="18" fillId="3" borderId="14" xfId="0" applyNumberFormat="1" applyFont="1" applyFill="1" applyBorder="1" applyAlignment="1">
      <alignment horizontal="right" vertical="center" wrapText="1"/>
    </xf>
    <xf numFmtId="2" fontId="18" fillId="3" borderId="15" xfId="0" applyNumberFormat="1" applyFont="1" applyFill="1" applyBorder="1" applyAlignment="1">
      <alignment horizontal="right" vertical="center" wrapText="1"/>
    </xf>
    <xf numFmtId="2" fontId="18" fillId="3" borderId="16" xfId="0" applyNumberFormat="1" applyFont="1" applyFill="1" applyBorder="1" applyAlignment="1">
      <alignment horizontal="right" vertical="center" wrapText="1"/>
    </xf>
    <xf numFmtId="0" fontId="11" fillId="12" borderId="20" xfId="0" applyFont="1" applyFill="1" applyBorder="1" applyAlignment="1">
      <alignment vertical="center" wrapText="1"/>
    </xf>
    <xf numFmtId="4" fontId="19" fillId="2" borderId="43" xfId="2" applyNumberFormat="1" applyFont="1" applyFill="1" applyBorder="1" applyAlignment="1">
      <alignment horizontal="center" vertical="center" wrapText="1"/>
    </xf>
    <xf numFmtId="0" fontId="15" fillId="10" borderId="40" xfId="0" applyFont="1" applyFill="1" applyBorder="1" applyAlignment="1">
      <alignment vertical="center"/>
    </xf>
    <xf numFmtId="0" fontId="15" fillId="7" borderId="13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/>
    </xf>
    <xf numFmtId="165" fontId="15" fillId="7" borderId="9" xfId="0" applyNumberFormat="1" applyFont="1" applyFill="1" applyBorder="1" applyAlignment="1">
      <alignment vertical="center"/>
    </xf>
    <xf numFmtId="0" fontId="15" fillId="0" borderId="48" xfId="0" applyFont="1" applyBorder="1" applyAlignment="1">
      <alignment vertical="center"/>
    </xf>
    <xf numFmtId="0" fontId="4" fillId="12" borderId="15" xfId="2" applyFont="1" applyFill="1" applyBorder="1" applyAlignment="1">
      <alignment horizontal="right" vertical="center" wrapText="1"/>
    </xf>
    <xf numFmtId="0" fontId="8" fillId="12" borderId="3" xfId="0" applyFont="1" applyFill="1" applyBorder="1" applyAlignment="1">
      <alignment horizontal="right" vertical="center"/>
    </xf>
    <xf numFmtId="2" fontId="8" fillId="12" borderId="4" xfId="0" applyNumberFormat="1" applyFont="1" applyFill="1" applyBorder="1" applyAlignment="1">
      <alignment horizontal="right" vertical="center"/>
    </xf>
    <xf numFmtId="2" fontId="15" fillId="13" borderId="14" xfId="0" applyNumberFormat="1" applyFont="1" applyFill="1" applyBorder="1" applyAlignment="1">
      <alignment horizontal="right" vertical="center" wrapText="1"/>
    </xf>
    <xf numFmtId="2" fontId="15" fillId="13" borderId="15" xfId="0" applyNumberFormat="1" applyFont="1" applyFill="1" applyBorder="1" applyAlignment="1">
      <alignment horizontal="right" vertical="center" wrapText="1"/>
    </xf>
    <xf numFmtId="2" fontId="15" fillId="13" borderId="16" xfId="0" applyNumberFormat="1" applyFont="1" applyFill="1" applyBorder="1" applyAlignment="1">
      <alignment horizontal="right" vertical="center" wrapText="1"/>
    </xf>
    <xf numFmtId="44" fontId="13" fillId="13" borderId="26" xfId="3" applyFont="1" applyFill="1" applyBorder="1" applyAlignment="1">
      <alignment horizontal="center" vertical="center" wrapText="1"/>
    </xf>
    <xf numFmtId="0" fontId="15" fillId="12" borderId="5" xfId="2" applyFont="1" applyFill="1" applyBorder="1" applyAlignment="1">
      <alignment horizontal="right" vertical="center" wrapText="1"/>
    </xf>
    <xf numFmtId="165" fontId="8" fillId="12" borderId="6" xfId="0" applyNumberFormat="1" applyFont="1" applyFill="1" applyBorder="1" applyAlignment="1">
      <alignment horizontal="right" vertical="center"/>
    </xf>
    <xf numFmtId="165" fontId="3" fillId="12" borderId="6" xfId="0" applyNumberFormat="1" applyFont="1" applyFill="1" applyBorder="1" applyAlignment="1">
      <alignment horizontal="right" vertical="center"/>
    </xf>
    <xf numFmtId="166" fontId="3" fillId="12" borderId="31" xfId="1" applyNumberFormat="1" applyFont="1" applyFill="1" applyBorder="1" applyAlignment="1">
      <alignment horizontal="right" vertical="center" wrapText="1"/>
    </xf>
    <xf numFmtId="0" fontId="2" fillId="12" borderId="0" xfId="0" applyFont="1" applyFill="1" applyAlignment="1">
      <alignment vertical="center"/>
    </xf>
    <xf numFmtId="165" fontId="2" fillId="0" borderId="0" xfId="4" applyFont="1" applyAlignment="1">
      <alignment vertical="center"/>
    </xf>
    <xf numFmtId="165" fontId="2" fillId="14" borderId="0" xfId="4" applyFont="1" applyFill="1" applyAlignment="1">
      <alignment vertical="center"/>
    </xf>
    <xf numFmtId="0" fontId="4" fillId="0" borderId="0" xfId="4" applyNumberFormat="1" applyFont="1" applyAlignment="1">
      <alignment horizontal="right" vertical="center"/>
    </xf>
    <xf numFmtId="0" fontId="9" fillId="0" borderId="51" xfId="4" applyNumberFormat="1" applyFont="1" applyBorder="1" applyAlignment="1">
      <alignment horizontal="center" vertical="center" wrapText="1"/>
    </xf>
    <xf numFmtId="165" fontId="3" fillId="0" borderId="52" xfId="5" applyFont="1" applyBorder="1" applyAlignment="1">
      <alignment horizontal="center" vertical="center" wrapText="1"/>
    </xf>
    <xf numFmtId="165" fontId="3" fillId="0" borderId="53" xfId="5" applyFont="1" applyBorder="1" applyAlignment="1">
      <alignment horizontal="center" vertical="center" wrapText="1"/>
    </xf>
    <xf numFmtId="4" fontId="3" fillId="0" borderId="54" xfId="5" applyNumberFormat="1" applyFont="1" applyBorder="1" applyAlignment="1">
      <alignment horizontal="center" vertical="center" wrapText="1"/>
    </xf>
    <xf numFmtId="2" fontId="3" fillId="0" borderId="54" xfId="5" applyNumberFormat="1" applyFont="1" applyBorder="1" applyAlignment="1">
      <alignment horizontal="center" vertical="center" wrapText="1"/>
    </xf>
    <xf numFmtId="2" fontId="3" fillId="0" borderId="55" xfId="5" applyNumberFormat="1" applyFont="1" applyBorder="1" applyAlignment="1">
      <alignment horizontal="center" vertical="center" wrapText="1"/>
    </xf>
    <xf numFmtId="4" fontId="3" fillId="0" borderId="56" xfId="5" applyNumberFormat="1" applyFont="1" applyBorder="1" applyAlignment="1">
      <alignment horizontal="center" vertical="center" wrapText="1"/>
    </xf>
    <xf numFmtId="3" fontId="3" fillId="0" borderId="54" xfId="5" applyNumberFormat="1" applyFont="1" applyBorder="1" applyAlignment="1">
      <alignment horizontal="center" vertical="center" wrapText="1"/>
    </xf>
    <xf numFmtId="3" fontId="3" fillId="0" borderId="57" xfId="5" applyNumberFormat="1" applyFont="1" applyBorder="1" applyAlignment="1">
      <alignment horizontal="center" vertical="center" wrapText="1"/>
    </xf>
    <xf numFmtId="0" fontId="4" fillId="0" borderId="58" xfId="4" applyNumberFormat="1" applyFont="1" applyBorder="1" applyAlignment="1">
      <alignment horizontal="right"/>
    </xf>
    <xf numFmtId="165" fontId="3" fillId="2" borderId="1" xfId="5" applyFont="1" applyFill="1" applyBorder="1" applyAlignment="1">
      <alignment horizontal="left" vertical="center" wrapText="1"/>
    </xf>
    <xf numFmtId="165" fontId="8" fillId="2" borderId="59" xfId="5" applyFont="1" applyFill="1" applyBorder="1" applyAlignment="1">
      <alignment horizontal="center" vertical="center" wrapText="1"/>
    </xf>
    <xf numFmtId="4" fontId="8" fillId="2" borderId="59" xfId="5" applyNumberFormat="1" applyFont="1" applyFill="1" applyBorder="1" applyAlignment="1">
      <alignment horizontal="right" vertical="center" wrapText="1"/>
    </xf>
    <xf numFmtId="2" fontId="8" fillId="2" borderId="59" xfId="5" applyNumberFormat="1" applyFont="1" applyFill="1" applyBorder="1" applyAlignment="1">
      <alignment horizontal="center" vertical="center" wrapText="1"/>
    </xf>
    <xf numFmtId="165" fontId="8" fillId="2" borderId="1" xfId="5" applyFont="1" applyFill="1" applyBorder="1" applyAlignment="1">
      <alignment vertical="center" wrapText="1"/>
    </xf>
    <xf numFmtId="3" fontId="8" fillId="2" borderId="1" xfId="5" applyNumberFormat="1" applyFont="1" applyFill="1" applyBorder="1" applyAlignment="1">
      <alignment vertical="center"/>
    </xf>
    <xf numFmtId="3" fontId="3" fillId="2" borderId="60" xfId="5" applyNumberFormat="1" applyFont="1" applyFill="1" applyBorder="1" applyAlignment="1">
      <alignment horizontal="right" vertical="center" wrapText="1"/>
    </xf>
    <xf numFmtId="4" fontId="3" fillId="2" borderId="61" xfId="5" applyNumberFormat="1" applyFont="1" applyFill="1" applyBorder="1" applyAlignment="1">
      <alignment horizontal="right" vertical="center" wrapText="1"/>
    </xf>
    <xf numFmtId="0" fontId="4" fillId="0" borderId="33" xfId="4" applyNumberFormat="1" applyFont="1" applyBorder="1" applyAlignment="1">
      <alignment horizontal="right"/>
    </xf>
    <xf numFmtId="165" fontId="3" fillId="14" borderId="0" xfId="5" applyFont="1" applyFill="1" applyAlignment="1">
      <alignment horizontal="left" vertical="center" wrapText="1"/>
    </xf>
    <xf numFmtId="165" fontId="8" fillId="3" borderId="62" xfId="5" applyFont="1" applyFill="1" applyBorder="1" applyAlignment="1">
      <alignment horizontal="center" vertical="center" wrapText="1"/>
    </xf>
    <xf numFmtId="4" fontId="8" fillId="3" borderId="63" xfId="5" applyNumberFormat="1" applyFont="1" applyFill="1" applyBorder="1" applyAlignment="1">
      <alignment horizontal="right" vertical="center" wrapText="1"/>
    </xf>
    <xf numFmtId="2" fontId="8" fillId="3" borderId="63" xfId="5" applyNumberFormat="1" applyFont="1" applyFill="1" applyBorder="1" applyAlignment="1">
      <alignment horizontal="center" vertical="center" wrapText="1"/>
    </xf>
    <xf numFmtId="4" fontId="8" fillId="3" borderId="64" xfId="5" applyNumberFormat="1" applyFont="1" applyFill="1" applyBorder="1" applyAlignment="1">
      <alignment horizontal="right" vertical="center" wrapText="1"/>
    </xf>
    <xf numFmtId="165" fontId="8" fillId="0" borderId="65" xfId="5" applyFont="1" applyBorder="1" applyAlignment="1">
      <alignment vertical="center" wrapText="1"/>
    </xf>
    <xf numFmtId="2" fontId="8" fillId="0" borderId="2" xfId="5" applyNumberFormat="1" applyFont="1" applyBorder="1" applyAlignment="1">
      <alignment vertical="center"/>
    </xf>
    <xf numFmtId="2" fontId="3" fillId="0" borderId="2" xfId="5" applyNumberFormat="1" applyFont="1" applyBorder="1" applyAlignment="1">
      <alignment vertical="center" wrapText="1"/>
    </xf>
    <xf numFmtId="2" fontId="3" fillId="0" borderId="31" xfId="5" applyNumberFormat="1" applyFont="1" applyBorder="1" applyAlignment="1">
      <alignment horizontal="right" vertical="center" wrapText="1"/>
    </xf>
    <xf numFmtId="165" fontId="3" fillId="14" borderId="66" xfId="4" applyFont="1" applyFill="1" applyBorder="1" applyAlignment="1">
      <alignment vertical="center" wrapText="1"/>
    </xf>
    <xf numFmtId="165" fontId="8" fillId="3" borderId="3" xfId="5" applyFont="1" applyFill="1" applyBorder="1" applyAlignment="1">
      <alignment horizontal="center" vertical="center" wrapText="1"/>
    </xf>
    <xf numFmtId="4" fontId="8" fillId="3" borderId="4" xfId="5" applyNumberFormat="1" applyFont="1" applyFill="1" applyBorder="1" applyAlignment="1">
      <alignment horizontal="right" vertical="center" wrapText="1"/>
    </xf>
    <xf numFmtId="2" fontId="8" fillId="3" borderId="4" xfId="5" applyNumberFormat="1" applyFont="1" applyFill="1" applyBorder="1" applyAlignment="1">
      <alignment horizontal="center" vertical="center" wrapText="1"/>
    </xf>
    <xf numFmtId="4" fontId="8" fillId="3" borderId="67" xfId="5" applyNumberFormat="1" applyFont="1" applyFill="1" applyBorder="1" applyAlignment="1">
      <alignment horizontal="right" vertical="center" wrapText="1"/>
    </xf>
    <xf numFmtId="165" fontId="8" fillId="0" borderId="68" xfId="5" applyFont="1" applyBorder="1" applyAlignment="1">
      <alignment vertical="center" wrapText="1"/>
    </xf>
    <xf numFmtId="4" fontId="8" fillId="0" borderId="2" xfId="5" applyNumberFormat="1" applyFont="1" applyBorder="1" applyAlignment="1">
      <alignment vertical="center"/>
    </xf>
    <xf numFmtId="4" fontId="3" fillId="0" borderId="2" xfId="5" applyNumberFormat="1" applyFont="1" applyBorder="1" applyAlignment="1">
      <alignment vertical="center" wrapText="1"/>
    </xf>
    <xf numFmtId="4" fontId="3" fillId="0" borderId="31" xfId="5" applyNumberFormat="1" applyFont="1" applyBorder="1" applyAlignment="1">
      <alignment horizontal="right" vertical="center" wrapText="1"/>
    </xf>
    <xf numFmtId="165" fontId="2" fillId="10" borderId="0" xfId="4" applyFont="1" applyFill="1" applyAlignment="1">
      <alignment vertical="center"/>
    </xf>
    <xf numFmtId="165" fontId="8" fillId="14" borderId="69" xfId="5" applyFont="1" applyFill="1" applyBorder="1" applyAlignment="1">
      <alignment horizontal="left" vertical="center" wrapText="1" indent="2"/>
    </xf>
    <xf numFmtId="165" fontId="2" fillId="7" borderId="0" xfId="4" applyFont="1" applyFill="1" applyAlignment="1">
      <alignment vertical="center"/>
    </xf>
    <xf numFmtId="2" fontId="8" fillId="3" borderId="2" xfId="5" applyNumberFormat="1" applyFont="1" applyFill="1" applyBorder="1" applyAlignment="1">
      <alignment horizontal="center" vertical="center" wrapText="1"/>
    </xf>
    <xf numFmtId="165" fontId="2" fillId="8" borderId="0" xfId="4" applyFont="1" applyFill="1" applyAlignment="1">
      <alignment vertical="center"/>
    </xf>
    <xf numFmtId="165" fontId="8" fillId="14" borderId="66" xfId="5" applyFont="1" applyFill="1" applyBorder="1" applyAlignment="1">
      <alignment horizontal="left" vertical="center" wrapText="1" indent="2"/>
    </xf>
    <xf numFmtId="2" fontId="8" fillId="3" borderId="4" xfId="5" applyNumberFormat="1" applyFont="1" applyFill="1" applyBorder="1" applyAlignment="1">
      <alignment horizontal="right" vertical="center" wrapText="1"/>
    </xf>
    <xf numFmtId="165" fontId="3" fillId="14" borderId="69" xfId="5" applyFont="1" applyFill="1" applyBorder="1" applyAlignment="1">
      <alignment horizontal="left" vertical="center" wrapText="1" indent="2"/>
    </xf>
    <xf numFmtId="165" fontId="8" fillId="14" borderId="69" xfId="5" applyFont="1" applyFill="1" applyBorder="1" applyAlignment="1">
      <alignment horizontal="left" vertical="center" wrapText="1" indent="3"/>
    </xf>
    <xf numFmtId="0" fontId="4" fillId="14" borderId="33" xfId="4" applyNumberFormat="1" applyFont="1" applyFill="1" applyBorder="1" applyAlignment="1">
      <alignment horizontal="right"/>
    </xf>
    <xf numFmtId="165" fontId="8" fillId="9" borderId="3" xfId="5" applyFont="1" applyFill="1" applyBorder="1" applyAlignment="1">
      <alignment horizontal="center" vertical="center" wrapText="1"/>
    </xf>
    <xf numFmtId="4" fontId="8" fillId="9" borderId="4" xfId="5" applyNumberFormat="1" applyFont="1" applyFill="1" applyBorder="1" applyAlignment="1">
      <alignment horizontal="right" vertical="center" wrapText="1"/>
    </xf>
    <xf numFmtId="2" fontId="8" fillId="9" borderId="4" xfId="5" applyNumberFormat="1" applyFont="1" applyFill="1" applyBorder="1" applyAlignment="1">
      <alignment horizontal="center" vertical="center" wrapText="1"/>
    </xf>
    <xf numFmtId="4" fontId="8" fillId="9" borderId="67" xfId="5" applyNumberFormat="1" applyFont="1" applyFill="1" applyBorder="1" applyAlignment="1">
      <alignment horizontal="right" vertical="center" wrapText="1"/>
    </xf>
    <xf numFmtId="165" fontId="8" fillId="14" borderId="68" xfId="5" applyFont="1" applyFill="1" applyBorder="1" applyAlignment="1">
      <alignment vertical="center" wrapText="1"/>
    </xf>
    <xf numFmtId="4" fontId="3" fillId="14" borderId="2" xfId="5" applyNumberFormat="1" applyFont="1" applyFill="1" applyBorder="1" applyAlignment="1">
      <alignment vertical="center" wrapText="1"/>
    </xf>
    <xf numFmtId="4" fontId="3" fillId="14" borderId="31" xfId="5" applyNumberFormat="1" applyFont="1" applyFill="1" applyBorder="1" applyAlignment="1">
      <alignment horizontal="right" vertical="center" wrapText="1"/>
    </xf>
    <xf numFmtId="165" fontId="8" fillId="0" borderId="68" xfId="5" quotePrefix="1" applyFont="1" applyBorder="1" applyAlignment="1">
      <alignment vertical="center" wrapText="1"/>
    </xf>
    <xf numFmtId="165" fontId="8" fillId="14" borderId="69" xfId="5" applyFont="1" applyFill="1" applyBorder="1" applyAlignment="1">
      <alignment horizontal="left" vertical="center" wrapText="1"/>
    </xf>
    <xf numFmtId="4" fontId="15" fillId="3" borderId="67" xfId="5" applyNumberFormat="1" applyFont="1" applyFill="1" applyBorder="1" applyAlignment="1">
      <alignment horizontal="right" vertical="center" wrapText="1"/>
    </xf>
    <xf numFmtId="0" fontId="4" fillId="0" borderId="26" xfId="4" applyNumberFormat="1" applyFont="1" applyBorder="1" applyAlignment="1">
      <alignment horizontal="right"/>
    </xf>
    <xf numFmtId="165" fontId="8" fillId="14" borderId="70" xfId="5" applyFont="1" applyFill="1" applyBorder="1" applyAlignment="1">
      <alignment horizontal="left" vertical="center" wrapText="1" indent="2"/>
    </xf>
    <xf numFmtId="0" fontId="4" fillId="0" borderId="30" xfId="4" applyNumberFormat="1" applyFont="1" applyBorder="1" applyAlignment="1">
      <alignment horizontal="right"/>
    </xf>
    <xf numFmtId="165" fontId="8" fillId="14" borderId="32" xfId="5" applyFont="1" applyFill="1" applyBorder="1" applyAlignment="1">
      <alignment horizontal="left" vertical="center" wrapText="1" indent="2"/>
    </xf>
    <xf numFmtId="165" fontId="8" fillId="14" borderId="69" xfId="5" applyFont="1" applyFill="1" applyBorder="1" applyAlignment="1">
      <alignment horizontal="left" vertical="center" indent="3"/>
    </xf>
    <xf numFmtId="4" fontId="8" fillId="14" borderId="2" xfId="5" applyNumberFormat="1" applyFont="1" applyFill="1" applyBorder="1" applyAlignment="1">
      <alignment vertical="center"/>
    </xf>
    <xf numFmtId="165" fontId="8" fillId="3" borderId="71" xfId="5" applyFont="1" applyFill="1" applyBorder="1" applyAlignment="1">
      <alignment horizontal="center" vertical="center" wrapText="1"/>
    </xf>
    <xf numFmtId="4" fontId="8" fillId="3" borderId="2" xfId="5" applyNumberFormat="1" applyFont="1" applyFill="1" applyBorder="1" applyAlignment="1">
      <alignment horizontal="right" vertical="center" wrapText="1"/>
    </xf>
    <xf numFmtId="4" fontId="8" fillId="3" borderId="72" xfId="5" applyNumberFormat="1" applyFont="1" applyFill="1" applyBorder="1" applyAlignment="1">
      <alignment horizontal="right" vertical="center" wrapText="1"/>
    </xf>
    <xf numFmtId="165" fontId="2" fillId="0" borderId="71" xfId="4" applyFont="1" applyBorder="1"/>
    <xf numFmtId="4" fontId="8" fillId="0" borderId="5" xfId="5" applyNumberFormat="1" applyFont="1" applyBorder="1" applyAlignment="1">
      <alignment vertical="center" wrapText="1"/>
    </xf>
    <xf numFmtId="165" fontId="8" fillId="14" borderId="0" xfId="5" applyFont="1" applyFill="1" applyAlignment="1">
      <alignment horizontal="left" vertical="center" wrapText="1" indent="3"/>
    </xf>
    <xf numFmtId="165" fontId="8" fillId="3" borderId="73" xfId="5" applyFont="1" applyFill="1" applyBorder="1" applyAlignment="1">
      <alignment horizontal="center" vertical="center" wrapText="1"/>
    </xf>
    <xf numFmtId="4" fontId="8" fillId="3" borderId="6" xfId="5" applyNumberFormat="1" applyFont="1" applyFill="1" applyBorder="1" applyAlignment="1">
      <alignment horizontal="right" vertical="center" wrapText="1"/>
    </xf>
    <xf numFmtId="2" fontId="8" fillId="3" borderId="74" xfId="5" applyNumberFormat="1" applyFont="1" applyFill="1" applyBorder="1" applyAlignment="1">
      <alignment horizontal="center" vertical="center" wrapText="1"/>
    </xf>
    <xf numFmtId="2" fontId="8" fillId="3" borderId="19" xfId="5" applyNumberFormat="1" applyFont="1" applyFill="1" applyBorder="1" applyAlignment="1">
      <alignment horizontal="center" vertical="center" wrapText="1"/>
    </xf>
    <xf numFmtId="4" fontId="8" fillId="3" borderId="75" xfId="5" applyNumberFormat="1" applyFont="1" applyFill="1" applyBorder="1" applyAlignment="1">
      <alignment horizontal="right" vertical="center" wrapText="1"/>
    </xf>
    <xf numFmtId="165" fontId="2" fillId="0" borderId="76" xfId="4" applyFont="1" applyBorder="1"/>
    <xf numFmtId="4" fontId="8" fillId="0" borderId="76" xfId="5" applyNumberFormat="1" applyFont="1" applyBorder="1" applyAlignment="1">
      <alignment vertical="center" wrapText="1"/>
    </xf>
    <xf numFmtId="4" fontId="3" fillId="0" borderId="19" xfId="5" applyNumberFormat="1" applyFont="1" applyBorder="1" applyAlignment="1">
      <alignment vertical="center" wrapText="1"/>
    </xf>
    <xf numFmtId="4" fontId="3" fillId="0" borderId="77" xfId="5" applyNumberFormat="1" applyFont="1" applyBorder="1" applyAlignment="1">
      <alignment horizontal="right" vertical="center" wrapText="1"/>
    </xf>
    <xf numFmtId="0" fontId="4" fillId="0" borderId="33" xfId="4" applyNumberFormat="1" applyFont="1" applyBorder="1" applyAlignment="1">
      <alignment horizontal="right" vertical="center"/>
    </xf>
    <xf numFmtId="165" fontId="2" fillId="0" borderId="78" xfId="4" applyFont="1" applyBorder="1" applyAlignment="1">
      <alignment vertical="center"/>
    </xf>
    <xf numFmtId="0" fontId="4" fillId="5" borderId="40" xfId="5" applyNumberFormat="1" applyFont="1" applyFill="1" applyBorder="1" applyAlignment="1">
      <alignment horizontal="right" vertical="center" wrapText="1"/>
    </xf>
    <xf numFmtId="165" fontId="3" fillId="5" borderId="79" xfId="5" applyFont="1" applyFill="1" applyBorder="1" applyAlignment="1">
      <alignment horizontal="right" vertical="center" wrapText="1"/>
    </xf>
    <xf numFmtId="165" fontId="8" fillId="0" borderId="0" xfId="5" applyFont="1" applyAlignment="1">
      <alignment horizontal="left" vertical="center" wrapText="1"/>
    </xf>
    <xf numFmtId="165" fontId="8" fillId="0" borderId="0" xfId="4" applyFont="1" applyAlignment="1">
      <alignment horizontal="right" vertical="center"/>
    </xf>
    <xf numFmtId="0" fontId="3" fillId="0" borderId="28" xfId="0" applyFont="1" applyBorder="1" applyAlignment="1">
      <alignment horizontal="right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165" fontId="24" fillId="0" borderId="0" xfId="4" applyFont="1" applyAlignment="1">
      <alignment horizontal="left" vertical="center"/>
    </xf>
    <xf numFmtId="165" fontId="25" fillId="0" borderId="0" xfId="4" applyFont="1" applyAlignment="1">
      <alignment horizontal="left" vertical="center"/>
    </xf>
    <xf numFmtId="4" fontId="12" fillId="5" borderId="40" xfId="5" applyNumberFormat="1" applyFont="1" applyFill="1" applyBorder="1" applyAlignment="1">
      <alignment horizontal="right"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4" fontId="8" fillId="5" borderId="39" xfId="2" applyNumberFormat="1" applyFont="1" applyFill="1" applyBorder="1" applyAlignment="1">
      <alignment horizontal="left" vertical="center"/>
    </xf>
  </cellXfs>
  <cellStyles count="6">
    <cellStyle name="Dziesiętny" xfId="1" builtinId="3"/>
    <cellStyle name="Normalny" xfId="0" builtinId="0"/>
    <cellStyle name="Normalny 2" xfId="4" xr:uid="{F3BA4F13-6D4A-4EDA-81D4-6FAB527ABDCD}"/>
    <cellStyle name="Normalny_BUDŻET SOLCA STANU SUROWEGO" xfId="2" xr:uid="{00000000-0005-0000-0000-000002000000}"/>
    <cellStyle name="Normalny_BUDŻET SOLCA STANU SUROWEGO 2" xfId="5" xr:uid="{651B408C-F252-4F4B-86C4-4ED1BCA561B3}"/>
    <cellStyle name="Walutowy" xfId="3" builtinId="4"/>
  </cellStyles>
  <dxfs count="0"/>
  <tableStyles count="0" defaultTableStyle="TableStyleMedium9" defaultPivotStyle="PivotStyleLight16"/>
  <colors>
    <mruColors>
      <color rgb="FFFFFF99"/>
      <color rgb="FFF5F9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view="pageBreakPreview" zoomScale="85" zoomScaleNormal="100" zoomScaleSheetLayoutView="85" workbookViewId="0">
      <selection activeCell="F11" sqref="F11"/>
    </sheetView>
  </sheetViews>
  <sheetFormatPr defaultRowHeight="15"/>
  <cols>
    <col min="1" max="1" width="6.28515625" style="147" customWidth="1"/>
    <col min="2" max="2" width="47.42578125" style="128" customWidth="1"/>
    <col min="3" max="3" width="17.5703125" style="128" customWidth="1"/>
    <col min="4" max="4" width="21.28515625" style="128" customWidth="1"/>
    <col min="5" max="5" width="20.85546875" style="128" customWidth="1"/>
    <col min="6" max="6" width="26.5703125" style="3" customWidth="1"/>
    <col min="7" max="7" width="15.7109375" style="128" customWidth="1"/>
    <col min="8" max="8" width="22.5703125" style="129" customWidth="1"/>
    <col min="9" max="9" width="23.28515625" style="128" customWidth="1"/>
    <col min="10" max="10" width="11.85546875" style="128" customWidth="1"/>
    <col min="11" max="256" width="9.140625" style="128"/>
    <col min="257" max="257" width="6.28515625" style="128" customWidth="1"/>
    <col min="258" max="258" width="47.42578125" style="128" customWidth="1"/>
    <col min="259" max="259" width="16.42578125" style="128" customWidth="1"/>
    <col min="260" max="260" width="11.140625" style="128" customWidth="1"/>
    <col min="261" max="261" width="19.85546875" style="128" customWidth="1"/>
    <col min="262" max="262" width="26.5703125" style="128" customWidth="1"/>
    <col min="263" max="263" width="9.140625" style="128"/>
    <col min="264" max="264" width="22.5703125" style="128" customWidth="1"/>
    <col min="265" max="512" width="9.140625" style="128"/>
    <col min="513" max="513" width="6.28515625" style="128" customWidth="1"/>
    <col min="514" max="514" width="47.42578125" style="128" customWidth="1"/>
    <col min="515" max="515" width="16.42578125" style="128" customWidth="1"/>
    <col min="516" max="516" width="11.140625" style="128" customWidth="1"/>
    <col min="517" max="517" width="19.85546875" style="128" customWidth="1"/>
    <col min="518" max="518" width="26.5703125" style="128" customWidth="1"/>
    <col min="519" max="519" width="9.140625" style="128"/>
    <col min="520" max="520" width="22.5703125" style="128" customWidth="1"/>
    <col min="521" max="768" width="9.140625" style="128"/>
    <col min="769" max="769" width="6.28515625" style="128" customWidth="1"/>
    <col min="770" max="770" width="47.42578125" style="128" customWidth="1"/>
    <col min="771" max="771" width="16.42578125" style="128" customWidth="1"/>
    <col min="772" max="772" width="11.140625" style="128" customWidth="1"/>
    <col min="773" max="773" width="19.85546875" style="128" customWidth="1"/>
    <col min="774" max="774" width="26.5703125" style="128" customWidth="1"/>
    <col min="775" max="775" width="9.140625" style="128"/>
    <col min="776" max="776" width="22.5703125" style="128" customWidth="1"/>
    <col min="777" max="1024" width="9.140625" style="128"/>
    <col min="1025" max="1025" width="6.28515625" style="128" customWidth="1"/>
    <col min="1026" max="1026" width="47.42578125" style="128" customWidth="1"/>
    <col min="1027" max="1027" width="16.42578125" style="128" customWidth="1"/>
    <col min="1028" max="1028" width="11.140625" style="128" customWidth="1"/>
    <col min="1029" max="1029" width="19.85546875" style="128" customWidth="1"/>
    <col min="1030" max="1030" width="26.5703125" style="128" customWidth="1"/>
    <col min="1031" max="1031" width="9.140625" style="128"/>
    <col min="1032" max="1032" width="22.5703125" style="128" customWidth="1"/>
    <col min="1033" max="1280" width="9.140625" style="128"/>
    <col min="1281" max="1281" width="6.28515625" style="128" customWidth="1"/>
    <col min="1282" max="1282" width="47.42578125" style="128" customWidth="1"/>
    <col min="1283" max="1283" width="16.42578125" style="128" customWidth="1"/>
    <col min="1284" max="1284" width="11.140625" style="128" customWidth="1"/>
    <col min="1285" max="1285" width="19.85546875" style="128" customWidth="1"/>
    <col min="1286" max="1286" width="26.5703125" style="128" customWidth="1"/>
    <col min="1287" max="1287" width="9.140625" style="128"/>
    <col min="1288" max="1288" width="22.5703125" style="128" customWidth="1"/>
    <col min="1289" max="1536" width="9.140625" style="128"/>
    <col min="1537" max="1537" width="6.28515625" style="128" customWidth="1"/>
    <col min="1538" max="1538" width="47.42578125" style="128" customWidth="1"/>
    <col min="1539" max="1539" width="16.42578125" style="128" customWidth="1"/>
    <col min="1540" max="1540" width="11.140625" style="128" customWidth="1"/>
    <col min="1541" max="1541" width="19.85546875" style="128" customWidth="1"/>
    <col min="1542" max="1542" width="26.5703125" style="128" customWidth="1"/>
    <col min="1543" max="1543" width="9.140625" style="128"/>
    <col min="1544" max="1544" width="22.5703125" style="128" customWidth="1"/>
    <col min="1545" max="1792" width="9.140625" style="128"/>
    <col min="1793" max="1793" width="6.28515625" style="128" customWidth="1"/>
    <col min="1794" max="1794" width="47.42578125" style="128" customWidth="1"/>
    <col min="1795" max="1795" width="16.42578125" style="128" customWidth="1"/>
    <col min="1796" max="1796" width="11.140625" style="128" customWidth="1"/>
    <col min="1797" max="1797" width="19.85546875" style="128" customWidth="1"/>
    <col min="1798" max="1798" width="26.5703125" style="128" customWidth="1"/>
    <col min="1799" max="1799" width="9.140625" style="128"/>
    <col min="1800" max="1800" width="22.5703125" style="128" customWidth="1"/>
    <col min="1801" max="2048" width="9.140625" style="128"/>
    <col min="2049" max="2049" width="6.28515625" style="128" customWidth="1"/>
    <col min="2050" max="2050" width="47.42578125" style="128" customWidth="1"/>
    <col min="2051" max="2051" width="16.42578125" style="128" customWidth="1"/>
    <col min="2052" max="2052" width="11.140625" style="128" customWidth="1"/>
    <col min="2053" max="2053" width="19.85546875" style="128" customWidth="1"/>
    <col min="2054" max="2054" width="26.5703125" style="128" customWidth="1"/>
    <col min="2055" max="2055" width="9.140625" style="128"/>
    <col min="2056" max="2056" width="22.5703125" style="128" customWidth="1"/>
    <col min="2057" max="2304" width="9.140625" style="128"/>
    <col min="2305" max="2305" width="6.28515625" style="128" customWidth="1"/>
    <col min="2306" max="2306" width="47.42578125" style="128" customWidth="1"/>
    <col min="2307" max="2307" width="16.42578125" style="128" customWidth="1"/>
    <col min="2308" max="2308" width="11.140625" style="128" customWidth="1"/>
    <col min="2309" max="2309" width="19.85546875" style="128" customWidth="1"/>
    <col min="2310" max="2310" width="26.5703125" style="128" customWidth="1"/>
    <col min="2311" max="2311" width="9.140625" style="128"/>
    <col min="2312" max="2312" width="22.5703125" style="128" customWidth="1"/>
    <col min="2313" max="2560" width="9.140625" style="128"/>
    <col min="2561" max="2561" width="6.28515625" style="128" customWidth="1"/>
    <col min="2562" max="2562" width="47.42578125" style="128" customWidth="1"/>
    <col min="2563" max="2563" width="16.42578125" style="128" customWidth="1"/>
    <col min="2564" max="2564" width="11.140625" style="128" customWidth="1"/>
    <col min="2565" max="2565" width="19.85546875" style="128" customWidth="1"/>
    <col min="2566" max="2566" width="26.5703125" style="128" customWidth="1"/>
    <col min="2567" max="2567" width="9.140625" style="128"/>
    <col min="2568" max="2568" width="22.5703125" style="128" customWidth="1"/>
    <col min="2569" max="2816" width="9.140625" style="128"/>
    <col min="2817" max="2817" width="6.28515625" style="128" customWidth="1"/>
    <col min="2818" max="2818" width="47.42578125" style="128" customWidth="1"/>
    <col min="2819" max="2819" width="16.42578125" style="128" customWidth="1"/>
    <col min="2820" max="2820" width="11.140625" style="128" customWidth="1"/>
    <col min="2821" max="2821" width="19.85546875" style="128" customWidth="1"/>
    <col min="2822" max="2822" width="26.5703125" style="128" customWidth="1"/>
    <col min="2823" max="2823" width="9.140625" style="128"/>
    <col min="2824" max="2824" width="22.5703125" style="128" customWidth="1"/>
    <col min="2825" max="3072" width="9.140625" style="128"/>
    <col min="3073" max="3073" width="6.28515625" style="128" customWidth="1"/>
    <col min="3074" max="3074" width="47.42578125" style="128" customWidth="1"/>
    <col min="3075" max="3075" width="16.42578125" style="128" customWidth="1"/>
    <col min="3076" max="3076" width="11.140625" style="128" customWidth="1"/>
    <col min="3077" max="3077" width="19.85546875" style="128" customWidth="1"/>
    <col min="3078" max="3078" width="26.5703125" style="128" customWidth="1"/>
    <col min="3079" max="3079" width="9.140625" style="128"/>
    <col min="3080" max="3080" width="22.5703125" style="128" customWidth="1"/>
    <col min="3081" max="3328" width="9.140625" style="128"/>
    <col min="3329" max="3329" width="6.28515625" style="128" customWidth="1"/>
    <col min="3330" max="3330" width="47.42578125" style="128" customWidth="1"/>
    <col min="3331" max="3331" width="16.42578125" style="128" customWidth="1"/>
    <col min="3332" max="3332" width="11.140625" style="128" customWidth="1"/>
    <col min="3333" max="3333" width="19.85546875" style="128" customWidth="1"/>
    <col min="3334" max="3334" width="26.5703125" style="128" customWidth="1"/>
    <col min="3335" max="3335" width="9.140625" style="128"/>
    <col min="3336" max="3336" width="22.5703125" style="128" customWidth="1"/>
    <col min="3337" max="3584" width="9.140625" style="128"/>
    <col min="3585" max="3585" width="6.28515625" style="128" customWidth="1"/>
    <col min="3586" max="3586" width="47.42578125" style="128" customWidth="1"/>
    <col min="3587" max="3587" width="16.42578125" style="128" customWidth="1"/>
    <col min="3588" max="3588" width="11.140625" style="128" customWidth="1"/>
    <col min="3589" max="3589" width="19.85546875" style="128" customWidth="1"/>
    <col min="3590" max="3590" width="26.5703125" style="128" customWidth="1"/>
    <col min="3591" max="3591" width="9.140625" style="128"/>
    <col min="3592" max="3592" width="22.5703125" style="128" customWidth="1"/>
    <col min="3593" max="3840" width="9.140625" style="128"/>
    <col min="3841" max="3841" width="6.28515625" style="128" customWidth="1"/>
    <col min="3842" max="3842" width="47.42578125" style="128" customWidth="1"/>
    <col min="3843" max="3843" width="16.42578125" style="128" customWidth="1"/>
    <col min="3844" max="3844" width="11.140625" style="128" customWidth="1"/>
    <col min="3845" max="3845" width="19.85546875" style="128" customWidth="1"/>
    <col min="3846" max="3846" width="26.5703125" style="128" customWidth="1"/>
    <col min="3847" max="3847" width="9.140625" style="128"/>
    <col min="3848" max="3848" width="22.5703125" style="128" customWidth="1"/>
    <col min="3849" max="4096" width="9.140625" style="128"/>
    <col min="4097" max="4097" width="6.28515625" style="128" customWidth="1"/>
    <col min="4098" max="4098" width="47.42578125" style="128" customWidth="1"/>
    <col min="4099" max="4099" width="16.42578125" style="128" customWidth="1"/>
    <col min="4100" max="4100" width="11.140625" style="128" customWidth="1"/>
    <col min="4101" max="4101" width="19.85546875" style="128" customWidth="1"/>
    <col min="4102" max="4102" width="26.5703125" style="128" customWidth="1"/>
    <col min="4103" max="4103" width="9.140625" style="128"/>
    <col min="4104" max="4104" width="22.5703125" style="128" customWidth="1"/>
    <col min="4105" max="4352" width="9.140625" style="128"/>
    <col min="4353" max="4353" width="6.28515625" style="128" customWidth="1"/>
    <col min="4354" max="4354" width="47.42578125" style="128" customWidth="1"/>
    <col min="4355" max="4355" width="16.42578125" style="128" customWidth="1"/>
    <col min="4356" max="4356" width="11.140625" style="128" customWidth="1"/>
    <col min="4357" max="4357" width="19.85546875" style="128" customWidth="1"/>
    <col min="4358" max="4358" width="26.5703125" style="128" customWidth="1"/>
    <col min="4359" max="4359" width="9.140625" style="128"/>
    <col min="4360" max="4360" width="22.5703125" style="128" customWidth="1"/>
    <col min="4361" max="4608" width="9.140625" style="128"/>
    <col min="4609" max="4609" width="6.28515625" style="128" customWidth="1"/>
    <col min="4610" max="4610" width="47.42578125" style="128" customWidth="1"/>
    <col min="4611" max="4611" width="16.42578125" style="128" customWidth="1"/>
    <col min="4612" max="4612" width="11.140625" style="128" customWidth="1"/>
    <col min="4613" max="4613" width="19.85546875" style="128" customWidth="1"/>
    <col min="4614" max="4614" width="26.5703125" style="128" customWidth="1"/>
    <col min="4615" max="4615" width="9.140625" style="128"/>
    <col min="4616" max="4616" width="22.5703125" style="128" customWidth="1"/>
    <col min="4617" max="4864" width="9.140625" style="128"/>
    <col min="4865" max="4865" width="6.28515625" style="128" customWidth="1"/>
    <col min="4866" max="4866" width="47.42578125" style="128" customWidth="1"/>
    <col min="4867" max="4867" width="16.42578125" style="128" customWidth="1"/>
    <col min="4868" max="4868" width="11.140625" style="128" customWidth="1"/>
    <col min="4869" max="4869" width="19.85546875" style="128" customWidth="1"/>
    <col min="4870" max="4870" width="26.5703125" style="128" customWidth="1"/>
    <col min="4871" max="4871" width="9.140625" style="128"/>
    <col min="4872" max="4872" width="22.5703125" style="128" customWidth="1"/>
    <col min="4873" max="5120" width="9.140625" style="128"/>
    <col min="5121" max="5121" width="6.28515625" style="128" customWidth="1"/>
    <col min="5122" max="5122" width="47.42578125" style="128" customWidth="1"/>
    <col min="5123" max="5123" width="16.42578125" style="128" customWidth="1"/>
    <col min="5124" max="5124" width="11.140625" style="128" customWidth="1"/>
    <col min="5125" max="5125" width="19.85546875" style="128" customWidth="1"/>
    <col min="5126" max="5126" width="26.5703125" style="128" customWidth="1"/>
    <col min="5127" max="5127" width="9.140625" style="128"/>
    <col min="5128" max="5128" width="22.5703125" style="128" customWidth="1"/>
    <col min="5129" max="5376" width="9.140625" style="128"/>
    <col min="5377" max="5377" width="6.28515625" style="128" customWidth="1"/>
    <col min="5378" max="5378" width="47.42578125" style="128" customWidth="1"/>
    <col min="5379" max="5379" width="16.42578125" style="128" customWidth="1"/>
    <col min="5380" max="5380" width="11.140625" style="128" customWidth="1"/>
    <col min="5381" max="5381" width="19.85546875" style="128" customWidth="1"/>
    <col min="5382" max="5382" width="26.5703125" style="128" customWidth="1"/>
    <col min="5383" max="5383" width="9.140625" style="128"/>
    <col min="5384" max="5384" width="22.5703125" style="128" customWidth="1"/>
    <col min="5385" max="5632" width="9.140625" style="128"/>
    <col min="5633" max="5633" width="6.28515625" style="128" customWidth="1"/>
    <col min="5634" max="5634" width="47.42578125" style="128" customWidth="1"/>
    <col min="5635" max="5635" width="16.42578125" style="128" customWidth="1"/>
    <col min="5636" max="5636" width="11.140625" style="128" customWidth="1"/>
    <col min="5637" max="5637" width="19.85546875" style="128" customWidth="1"/>
    <col min="5638" max="5638" width="26.5703125" style="128" customWidth="1"/>
    <col min="5639" max="5639" width="9.140625" style="128"/>
    <col min="5640" max="5640" width="22.5703125" style="128" customWidth="1"/>
    <col min="5641" max="5888" width="9.140625" style="128"/>
    <col min="5889" max="5889" width="6.28515625" style="128" customWidth="1"/>
    <col min="5890" max="5890" width="47.42578125" style="128" customWidth="1"/>
    <col min="5891" max="5891" width="16.42578125" style="128" customWidth="1"/>
    <col min="5892" max="5892" width="11.140625" style="128" customWidth="1"/>
    <col min="5893" max="5893" width="19.85546875" style="128" customWidth="1"/>
    <col min="5894" max="5894" width="26.5703125" style="128" customWidth="1"/>
    <col min="5895" max="5895" width="9.140625" style="128"/>
    <col min="5896" max="5896" width="22.5703125" style="128" customWidth="1"/>
    <col min="5897" max="6144" width="9.140625" style="128"/>
    <col min="6145" max="6145" width="6.28515625" style="128" customWidth="1"/>
    <col min="6146" max="6146" width="47.42578125" style="128" customWidth="1"/>
    <col min="6147" max="6147" width="16.42578125" style="128" customWidth="1"/>
    <col min="6148" max="6148" width="11.140625" style="128" customWidth="1"/>
    <col min="6149" max="6149" width="19.85546875" style="128" customWidth="1"/>
    <col min="6150" max="6150" width="26.5703125" style="128" customWidth="1"/>
    <col min="6151" max="6151" width="9.140625" style="128"/>
    <col min="6152" max="6152" width="22.5703125" style="128" customWidth="1"/>
    <col min="6153" max="6400" width="9.140625" style="128"/>
    <col min="6401" max="6401" width="6.28515625" style="128" customWidth="1"/>
    <col min="6402" max="6402" width="47.42578125" style="128" customWidth="1"/>
    <col min="6403" max="6403" width="16.42578125" style="128" customWidth="1"/>
    <col min="6404" max="6404" width="11.140625" style="128" customWidth="1"/>
    <col min="6405" max="6405" width="19.85546875" style="128" customWidth="1"/>
    <col min="6406" max="6406" width="26.5703125" style="128" customWidth="1"/>
    <col min="6407" max="6407" width="9.140625" style="128"/>
    <col min="6408" max="6408" width="22.5703125" style="128" customWidth="1"/>
    <col min="6409" max="6656" width="9.140625" style="128"/>
    <col min="6657" max="6657" width="6.28515625" style="128" customWidth="1"/>
    <col min="6658" max="6658" width="47.42578125" style="128" customWidth="1"/>
    <col min="6659" max="6659" width="16.42578125" style="128" customWidth="1"/>
    <col min="6660" max="6660" width="11.140625" style="128" customWidth="1"/>
    <col min="6661" max="6661" width="19.85546875" style="128" customWidth="1"/>
    <col min="6662" max="6662" width="26.5703125" style="128" customWidth="1"/>
    <col min="6663" max="6663" width="9.140625" style="128"/>
    <col min="6664" max="6664" width="22.5703125" style="128" customWidth="1"/>
    <col min="6665" max="6912" width="9.140625" style="128"/>
    <col min="6913" max="6913" width="6.28515625" style="128" customWidth="1"/>
    <col min="6914" max="6914" width="47.42578125" style="128" customWidth="1"/>
    <col min="6915" max="6915" width="16.42578125" style="128" customWidth="1"/>
    <col min="6916" max="6916" width="11.140625" style="128" customWidth="1"/>
    <col min="6917" max="6917" width="19.85546875" style="128" customWidth="1"/>
    <col min="6918" max="6918" width="26.5703125" style="128" customWidth="1"/>
    <col min="6919" max="6919" width="9.140625" style="128"/>
    <col min="6920" max="6920" width="22.5703125" style="128" customWidth="1"/>
    <col min="6921" max="7168" width="9.140625" style="128"/>
    <col min="7169" max="7169" width="6.28515625" style="128" customWidth="1"/>
    <col min="7170" max="7170" width="47.42578125" style="128" customWidth="1"/>
    <col min="7171" max="7171" width="16.42578125" style="128" customWidth="1"/>
    <col min="7172" max="7172" width="11.140625" style="128" customWidth="1"/>
    <col min="7173" max="7173" width="19.85546875" style="128" customWidth="1"/>
    <col min="7174" max="7174" width="26.5703125" style="128" customWidth="1"/>
    <col min="7175" max="7175" width="9.140625" style="128"/>
    <col min="7176" max="7176" width="22.5703125" style="128" customWidth="1"/>
    <col min="7177" max="7424" width="9.140625" style="128"/>
    <col min="7425" max="7425" width="6.28515625" style="128" customWidth="1"/>
    <col min="7426" max="7426" width="47.42578125" style="128" customWidth="1"/>
    <col min="7427" max="7427" width="16.42578125" style="128" customWidth="1"/>
    <col min="7428" max="7428" width="11.140625" style="128" customWidth="1"/>
    <col min="7429" max="7429" width="19.85546875" style="128" customWidth="1"/>
    <col min="7430" max="7430" width="26.5703125" style="128" customWidth="1"/>
    <col min="7431" max="7431" width="9.140625" style="128"/>
    <col min="7432" max="7432" width="22.5703125" style="128" customWidth="1"/>
    <col min="7433" max="7680" width="9.140625" style="128"/>
    <col min="7681" max="7681" width="6.28515625" style="128" customWidth="1"/>
    <col min="7682" max="7682" width="47.42578125" style="128" customWidth="1"/>
    <col min="7683" max="7683" width="16.42578125" style="128" customWidth="1"/>
    <col min="7684" max="7684" width="11.140625" style="128" customWidth="1"/>
    <col min="7685" max="7685" width="19.85546875" style="128" customWidth="1"/>
    <col min="7686" max="7686" width="26.5703125" style="128" customWidth="1"/>
    <col min="7687" max="7687" width="9.140625" style="128"/>
    <col min="7688" max="7688" width="22.5703125" style="128" customWidth="1"/>
    <col min="7689" max="7936" width="9.140625" style="128"/>
    <col min="7937" max="7937" width="6.28515625" style="128" customWidth="1"/>
    <col min="7938" max="7938" width="47.42578125" style="128" customWidth="1"/>
    <col min="7939" max="7939" width="16.42578125" style="128" customWidth="1"/>
    <col min="7940" max="7940" width="11.140625" style="128" customWidth="1"/>
    <col min="7941" max="7941" width="19.85546875" style="128" customWidth="1"/>
    <col min="7942" max="7942" width="26.5703125" style="128" customWidth="1"/>
    <col min="7943" max="7943" width="9.140625" style="128"/>
    <col min="7944" max="7944" width="22.5703125" style="128" customWidth="1"/>
    <col min="7945" max="8192" width="9.140625" style="128"/>
    <col min="8193" max="8193" width="6.28515625" style="128" customWidth="1"/>
    <col min="8194" max="8194" width="47.42578125" style="128" customWidth="1"/>
    <col min="8195" max="8195" width="16.42578125" style="128" customWidth="1"/>
    <col min="8196" max="8196" width="11.140625" style="128" customWidth="1"/>
    <col min="8197" max="8197" width="19.85546875" style="128" customWidth="1"/>
    <col min="8198" max="8198" width="26.5703125" style="128" customWidth="1"/>
    <col min="8199" max="8199" width="9.140625" style="128"/>
    <col min="8200" max="8200" width="22.5703125" style="128" customWidth="1"/>
    <col min="8201" max="8448" width="9.140625" style="128"/>
    <col min="8449" max="8449" width="6.28515625" style="128" customWidth="1"/>
    <col min="8450" max="8450" width="47.42578125" style="128" customWidth="1"/>
    <col min="8451" max="8451" width="16.42578125" style="128" customWidth="1"/>
    <col min="8452" max="8452" width="11.140625" style="128" customWidth="1"/>
    <col min="8453" max="8453" width="19.85546875" style="128" customWidth="1"/>
    <col min="8454" max="8454" width="26.5703125" style="128" customWidth="1"/>
    <col min="8455" max="8455" width="9.140625" style="128"/>
    <col min="8456" max="8456" width="22.5703125" style="128" customWidth="1"/>
    <col min="8457" max="8704" width="9.140625" style="128"/>
    <col min="8705" max="8705" width="6.28515625" style="128" customWidth="1"/>
    <col min="8706" max="8706" width="47.42578125" style="128" customWidth="1"/>
    <col min="8707" max="8707" width="16.42578125" style="128" customWidth="1"/>
    <col min="8708" max="8708" width="11.140625" style="128" customWidth="1"/>
    <col min="8709" max="8709" width="19.85546875" style="128" customWidth="1"/>
    <col min="8710" max="8710" width="26.5703125" style="128" customWidth="1"/>
    <col min="8711" max="8711" width="9.140625" style="128"/>
    <col min="8712" max="8712" width="22.5703125" style="128" customWidth="1"/>
    <col min="8713" max="8960" width="9.140625" style="128"/>
    <col min="8961" max="8961" width="6.28515625" style="128" customWidth="1"/>
    <col min="8962" max="8962" width="47.42578125" style="128" customWidth="1"/>
    <col min="8963" max="8963" width="16.42578125" style="128" customWidth="1"/>
    <col min="8964" max="8964" width="11.140625" style="128" customWidth="1"/>
    <col min="8965" max="8965" width="19.85546875" style="128" customWidth="1"/>
    <col min="8966" max="8966" width="26.5703125" style="128" customWidth="1"/>
    <col min="8967" max="8967" width="9.140625" style="128"/>
    <col min="8968" max="8968" width="22.5703125" style="128" customWidth="1"/>
    <col min="8969" max="9216" width="9.140625" style="128"/>
    <col min="9217" max="9217" width="6.28515625" style="128" customWidth="1"/>
    <col min="9218" max="9218" width="47.42578125" style="128" customWidth="1"/>
    <col min="9219" max="9219" width="16.42578125" style="128" customWidth="1"/>
    <col min="9220" max="9220" width="11.140625" style="128" customWidth="1"/>
    <col min="9221" max="9221" width="19.85546875" style="128" customWidth="1"/>
    <col min="9222" max="9222" width="26.5703125" style="128" customWidth="1"/>
    <col min="9223" max="9223" width="9.140625" style="128"/>
    <col min="9224" max="9224" width="22.5703125" style="128" customWidth="1"/>
    <col min="9225" max="9472" width="9.140625" style="128"/>
    <col min="9473" max="9473" width="6.28515625" style="128" customWidth="1"/>
    <col min="9474" max="9474" width="47.42578125" style="128" customWidth="1"/>
    <col min="9475" max="9475" width="16.42578125" style="128" customWidth="1"/>
    <col min="9476" max="9476" width="11.140625" style="128" customWidth="1"/>
    <col min="9477" max="9477" width="19.85546875" style="128" customWidth="1"/>
    <col min="9478" max="9478" width="26.5703125" style="128" customWidth="1"/>
    <col min="9479" max="9479" width="9.140625" style="128"/>
    <col min="9480" max="9480" width="22.5703125" style="128" customWidth="1"/>
    <col min="9481" max="9728" width="9.140625" style="128"/>
    <col min="9729" max="9729" width="6.28515625" style="128" customWidth="1"/>
    <col min="9730" max="9730" width="47.42578125" style="128" customWidth="1"/>
    <col min="9731" max="9731" width="16.42578125" style="128" customWidth="1"/>
    <col min="9732" max="9732" width="11.140625" style="128" customWidth="1"/>
    <col min="9733" max="9733" width="19.85546875" style="128" customWidth="1"/>
    <col min="9734" max="9734" width="26.5703125" style="128" customWidth="1"/>
    <col min="9735" max="9735" width="9.140625" style="128"/>
    <col min="9736" max="9736" width="22.5703125" style="128" customWidth="1"/>
    <col min="9737" max="9984" width="9.140625" style="128"/>
    <col min="9985" max="9985" width="6.28515625" style="128" customWidth="1"/>
    <col min="9986" max="9986" width="47.42578125" style="128" customWidth="1"/>
    <col min="9987" max="9987" width="16.42578125" style="128" customWidth="1"/>
    <col min="9988" max="9988" width="11.140625" style="128" customWidth="1"/>
    <col min="9989" max="9989" width="19.85546875" style="128" customWidth="1"/>
    <col min="9990" max="9990" width="26.5703125" style="128" customWidth="1"/>
    <col min="9991" max="9991" width="9.140625" style="128"/>
    <col min="9992" max="9992" width="22.5703125" style="128" customWidth="1"/>
    <col min="9993" max="10240" width="9.140625" style="128"/>
    <col min="10241" max="10241" width="6.28515625" style="128" customWidth="1"/>
    <col min="10242" max="10242" width="47.42578125" style="128" customWidth="1"/>
    <col min="10243" max="10243" width="16.42578125" style="128" customWidth="1"/>
    <col min="10244" max="10244" width="11.140625" style="128" customWidth="1"/>
    <col min="10245" max="10245" width="19.85546875" style="128" customWidth="1"/>
    <col min="10246" max="10246" width="26.5703125" style="128" customWidth="1"/>
    <col min="10247" max="10247" width="9.140625" style="128"/>
    <col min="10248" max="10248" width="22.5703125" style="128" customWidth="1"/>
    <col min="10249" max="10496" width="9.140625" style="128"/>
    <col min="10497" max="10497" width="6.28515625" style="128" customWidth="1"/>
    <col min="10498" max="10498" width="47.42578125" style="128" customWidth="1"/>
    <col min="10499" max="10499" width="16.42578125" style="128" customWidth="1"/>
    <col min="10500" max="10500" width="11.140625" style="128" customWidth="1"/>
    <col min="10501" max="10501" width="19.85546875" style="128" customWidth="1"/>
    <col min="10502" max="10502" width="26.5703125" style="128" customWidth="1"/>
    <col min="10503" max="10503" width="9.140625" style="128"/>
    <col min="10504" max="10504" width="22.5703125" style="128" customWidth="1"/>
    <col min="10505" max="10752" width="9.140625" style="128"/>
    <col min="10753" max="10753" width="6.28515625" style="128" customWidth="1"/>
    <col min="10754" max="10754" width="47.42578125" style="128" customWidth="1"/>
    <col min="10755" max="10755" width="16.42578125" style="128" customWidth="1"/>
    <col min="10756" max="10756" width="11.140625" style="128" customWidth="1"/>
    <col min="10757" max="10757" width="19.85546875" style="128" customWidth="1"/>
    <col min="10758" max="10758" width="26.5703125" style="128" customWidth="1"/>
    <col min="10759" max="10759" width="9.140625" style="128"/>
    <col min="10760" max="10760" width="22.5703125" style="128" customWidth="1"/>
    <col min="10761" max="11008" width="9.140625" style="128"/>
    <col min="11009" max="11009" width="6.28515625" style="128" customWidth="1"/>
    <col min="11010" max="11010" width="47.42578125" style="128" customWidth="1"/>
    <col min="11011" max="11011" width="16.42578125" style="128" customWidth="1"/>
    <col min="11012" max="11012" width="11.140625" style="128" customWidth="1"/>
    <col min="11013" max="11013" width="19.85546875" style="128" customWidth="1"/>
    <col min="11014" max="11014" width="26.5703125" style="128" customWidth="1"/>
    <col min="11015" max="11015" width="9.140625" style="128"/>
    <col min="11016" max="11016" width="22.5703125" style="128" customWidth="1"/>
    <col min="11017" max="11264" width="9.140625" style="128"/>
    <col min="11265" max="11265" width="6.28515625" style="128" customWidth="1"/>
    <col min="11266" max="11266" width="47.42578125" style="128" customWidth="1"/>
    <col min="11267" max="11267" width="16.42578125" style="128" customWidth="1"/>
    <col min="11268" max="11268" width="11.140625" style="128" customWidth="1"/>
    <col min="11269" max="11269" width="19.85546875" style="128" customWidth="1"/>
    <col min="11270" max="11270" width="26.5703125" style="128" customWidth="1"/>
    <col min="11271" max="11271" width="9.140625" style="128"/>
    <col min="11272" max="11272" width="22.5703125" style="128" customWidth="1"/>
    <col min="11273" max="11520" width="9.140625" style="128"/>
    <col min="11521" max="11521" width="6.28515625" style="128" customWidth="1"/>
    <col min="11522" max="11522" width="47.42578125" style="128" customWidth="1"/>
    <col min="11523" max="11523" width="16.42578125" style="128" customWidth="1"/>
    <col min="11524" max="11524" width="11.140625" style="128" customWidth="1"/>
    <col min="11525" max="11525" width="19.85546875" style="128" customWidth="1"/>
    <col min="11526" max="11526" width="26.5703125" style="128" customWidth="1"/>
    <col min="11527" max="11527" width="9.140625" style="128"/>
    <col min="11528" max="11528" width="22.5703125" style="128" customWidth="1"/>
    <col min="11529" max="11776" width="9.140625" style="128"/>
    <col min="11777" max="11777" width="6.28515625" style="128" customWidth="1"/>
    <col min="11778" max="11778" width="47.42578125" style="128" customWidth="1"/>
    <col min="11779" max="11779" width="16.42578125" style="128" customWidth="1"/>
    <col min="11780" max="11780" width="11.140625" style="128" customWidth="1"/>
    <col min="11781" max="11781" width="19.85546875" style="128" customWidth="1"/>
    <col min="11782" max="11782" width="26.5703125" style="128" customWidth="1"/>
    <col min="11783" max="11783" width="9.140625" style="128"/>
    <col min="11784" max="11784" width="22.5703125" style="128" customWidth="1"/>
    <col min="11785" max="12032" width="9.140625" style="128"/>
    <col min="12033" max="12033" width="6.28515625" style="128" customWidth="1"/>
    <col min="12034" max="12034" width="47.42578125" style="128" customWidth="1"/>
    <col min="12035" max="12035" width="16.42578125" style="128" customWidth="1"/>
    <col min="12036" max="12036" width="11.140625" style="128" customWidth="1"/>
    <col min="12037" max="12037" width="19.85546875" style="128" customWidth="1"/>
    <col min="12038" max="12038" width="26.5703125" style="128" customWidth="1"/>
    <col min="12039" max="12039" width="9.140625" style="128"/>
    <col min="12040" max="12040" width="22.5703125" style="128" customWidth="1"/>
    <col min="12041" max="12288" width="9.140625" style="128"/>
    <col min="12289" max="12289" width="6.28515625" style="128" customWidth="1"/>
    <col min="12290" max="12290" width="47.42578125" style="128" customWidth="1"/>
    <col min="12291" max="12291" width="16.42578125" style="128" customWidth="1"/>
    <col min="12292" max="12292" width="11.140625" style="128" customWidth="1"/>
    <col min="12293" max="12293" width="19.85546875" style="128" customWidth="1"/>
    <col min="12294" max="12294" width="26.5703125" style="128" customWidth="1"/>
    <col min="12295" max="12295" width="9.140625" style="128"/>
    <col min="12296" max="12296" width="22.5703125" style="128" customWidth="1"/>
    <col min="12297" max="12544" width="9.140625" style="128"/>
    <col min="12545" max="12545" width="6.28515625" style="128" customWidth="1"/>
    <col min="12546" max="12546" width="47.42578125" style="128" customWidth="1"/>
    <col min="12547" max="12547" width="16.42578125" style="128" customWidth="1"/>
    <col min="12548" max="12548" width="11.140625" style="128" customWidth="1"/>
    <col min="12549" max="12549" width="19.85546875" style="128" customWidth="1"/>
    <col min="12550" max="12550" width="26.5703125" style="128" customWidth="1"/>
    <col min="12551" max="12551" width="9.140625" style="128"/>
    <col min="12552" max="12552" width="22.5703125" style="128" customWidth="1"/>
    <col min="12553" max="12800" width="9.140625" style="128"/>
    <col min="12801" max="12801" width="6.28515625" style="128" customWidth="1"/>
    <col min="12802" max="12802" width="47.42578125" style="128" customWidth="1"/>
    <col min="12803" max="12803" width="16.42578125" style="128" customWidth="1"/>
    <col min="12804" max="12804" width="11.140625" style="128" customWidth="1"/>
    <col min="12805" max="12805" width="19.85546875" style="128" customWidth="1"/>
    <col min="12806" max="12806" width="26.5703125" style="128" customWidth="1"/>
    <col min="12807" max="12807" width="9.140625" style="128"/>
    <col min="12808" max="12808" width="22.5703125" style="128" customWidth="1"/>
    <col min="12809" max="13056" width="9.140625" style="128"/>
    <col min="13057" max="13057" width="6.28515625" style="128" customWidth="1"/>
    <col min="13058" max="13058" width="47.42578125" style="128" customWidth="1"/>
    <col min="13059" max="13059" width="16.42578125" style="128" customWidth="1"/>
    <col min="13060" max="13060" width="11.140625" style="128" customWidth="1"/>
    <col min="13061" max="13061" width="19.85546875" style="128" customWidth="1"/>
    <col min="13062" max="13062" width="26.5703125" style="128" customWidth="1"/>
    <col min="13063" max="13063" width="9.140625" style="128"/>
    <col min="13064" max="13064" width="22.5703125" style="128" customWidth="1"/>
    <col min="13065" max="13312" width="9.140625" style="128"/>
    <col min="13313" max="13313" width="6.28515625" style="128" customWidth="1"/>
    <col min="13314" max="13314" width="47.42578125" style="128" customWidth="1"/>
    <col min="13315" max="13315" width="16.42578125" style="128" customWidth="1"/>
    <col min="13316" max="13316" width="11.140625" style="128" customWidth="1"/>
    <col min="13317" max="13317" width="19.85546875" style="128" customWidth="1"/>
    <col min="13318" max="13318" width="26.5703125" style="128" customWidth="1"/>
    <col min="13319" max="13319" width="9.140625" style="128"/>
    <col min="13320" max="13320" width="22.5703125" style="128" customWidth="1"/>
    <col min="13321" max="13568" width="9.140625" style="128"/>
    <col min="13569" max="13569" width="6.28515625" style="128" customWidth="1"/>
    <col min="13570" max="13570" width="47.42578125" style="128" customWidth="1"/>
    <col min="13571" max="13571" width="16.42578125" style="128" customWidth="1"/>
    <col min="13572" max="13572" width="11.140625" style="128" customWidth="1"/>
    <col min="13573" max="13573" width="19.85546875" style="128" customWidth="1"/>
    <col min="13574" max="13574" width="26.5703125" style="128" customWidth="1"/>
    <col min="13575" max="13575" width="9.140625" style="128"/>
    <col min="13576" max="13576" width="22.5703125" style="128" customWidth="1"/>
    <col min="13577" max="13824" width="9.140625" style="128"/>
    <col min="13825" max="13825" width="6.28515625" style="128" customWidth="1"/>
    <col min="13826" max="13826" width="47.42578125" style="128" customWidth="1"/>
    <col min="13827" max="13827" width="16.42578125" style="128" customWidth="1"/>
    <col min="13828" max="13828" width="11.140625" style="128" customWidth="1"/>
    <col min="13829" max="13829" width="19.85546875" style="128" customWidth="1"/>
    <col min="13830" max="13830" width="26.5703125" style="128" customWidth="1"/>
    <col min="13831" max="13831" width="9.140625" style="128"/>
    <col min="13832" max="13832" width="22.5703125" style="128" customWidth="1"/>
    <col min="13833" max="14080" width="9.140625" style="128"/>
    <col min="14081" max="14081" width="6.28515625" style="128" customWidth="1"/>
    <col min="14082" max="14082" width="47.42578125" style="128" customWidth="1"/>
    <col min="14083" max="14083" width="16.42578125" style="128" customWidth="1"/>
    <col min="14084" max="14084" width="11.140625" style="128" customWidth="1"/>
    <col min="14085" max="14085" width="19.85546875" style="128" customWidth="1"/>
    <col min="14086" max="14086" width="26.5703125" style="128" customWidth="1"/>
    <col min="14087" max="14087" width="9.140625" style="128"/>
    <col min="14088" max="14088" width="22.5703125" style="128" customWidth="1"/>
    <col min="14089" max="14336" width="9.140625" style="128"/>
    <col min="14337" max="14337" width="6.28515625" style="128" customWidth="1"/>
    <col min="14338" max="14338" width="47.42578125" style="128" customWidth="1"/>
    <col min="14339" max="14339" width="16.42578125" style="128" customWidth="1"/>
    <col min="14340" max="14340" width="11.140625" style="128" customWidth="1"/>
    <col min="14341" max="14341" width="19.85546875" style="128" customWidth="1"/>
    <col min="14342" max="14342" width="26.5703125" style="128" customWidth="1"/>
    <col min="14343" max="14343" width="9.140625" style="128"/>
    <col min="14344" max="14344" width="22.5703125" style="128" customWidth="1"/>
    <col min="14345" max="14592" width="9.140625" style="128"/>
    <col min="14593" max="14593" width="6.28515625" style="128" customWidth="1"/>
    <col min="14594" max="14594" width="47.42578125" style="128" customWidth="1"/>
    <col min="14595" max="14595" width="16.42578125" style="128" customWidth="1"/>
    <col min="14596" max="14596" width="11.140625" style="128" customWidth="1"/>
    <col min="14597" max="14597" width="19.85546875" style="128" customWidth="1"/>
    <col min="14598" max="14598" width="26.5703125" style="128" customWidth="1"/>
    <col min="14599" max="14599" width="9.140625" style="128"/>
    <col min="14600" max="14600" width="22.5703125" style="128" customWidth="1"/>
    <col min="14601" max="14848" width="9.140625" style="128"/>
    <col min="14849" max="14849" width="6.28515625" style="128" customWidth="1"/>
    <col min="14850" max="14850" width="47.42578125" style="128" customWidth="1"/>
    <col min="14851" max="14851" width="16.42578125" style="128" customWidth="1"/>
    <col min="14852" max="14852" width="11.140625" style="128" customWidth="1"/>
    <col min="14853" max="14853" width="19.85546875" style="128" customWidth="1"/>
    <col min="14854" max="14854" width="26.5703125" style="128" customWidth="1"/>
    <col min="14855" max="14855" width="9.140625" style="128"/>
    <col min="14856" max="14856" width="22.5703125" style="128" customWidth="1"/>
    <col min="14857" max="15104" width="9.140625" style="128"/>
    <col min="15105" max="15105" width="6.28515625" style="128" customWidth="1"/>
    <col min="15106" max="15106" width="47.42578125" style="128" customWidth="1"/>
    <col min="15107" max="15107" width="16.42578125" style="128" customWidth="1"/>
    <col min="15108" max="15108" width="11.140625" style="128" customWidth="1"/>
    <col min="15109" max="15109" width="19.85546875" style="128" customWidth="1"/>
    <col min="15110" max="15110" width="26.5703125" style="128" customWidth="1"/>
    <col min="15111" max="15111" width="9.140625" style="128"/>
    <col min="15112" max="15112" width="22.5703125" style="128" customWidth="1"/>
    <col min="15113" max="15360" width="9.140625" style="128"/>
    <col min="15361" max="15361" width="6.28515625" style="128" customWidth="1"/>
    <col min="15362" max="15362" width="47.42578125" style="128" customWidth="1"/>
    <col min="15363" max="15363" width="16.42578125" style="128" customWidth="1"/>
    <col min="15364" max="15364" width="11.140625" style="128" customWidth="1"/>
    <col min="15365" max="15365" width="19.85546875" style="128" customWidth="1"/>
    <col min="15366" max="15366" width="26.5703125" style="128" customWidth="1"/>
    <col min="15367" max="15367" width="9.140625" style="128"/>
    <col min="15368" max="15368" width="22.5703125" style="128" customWidth="1"/>
    <col min="15369" max="15616" width="9.140625" style="128"/>
    <col min="15617" max="15617" width="6.28515625" style="128" customWidth="1"/>
    <col min="15618" max="15618" width="47.42578125" style="128" customWidth="1"/>
    <col min="15619" max="15619" width="16.42578125" style="128" customWidth="1"/>
    <col min="15620" max="15620" width="11.140625" style="128" customWidth="1"/>
    <col min="15621" max="15621" width="19.85546875" style="128" customWidth="1"/>
    <col min="15622" max="15622" width="26.5703125" style="128" customWidth="1"/>
    <col min="15623" max="15623" width="9.140625" style="128"/>
    <col min="15624" max="15624" width="22.5703125" style="128" customWidth="1"/>
    <col min="15625" max="15872" width="9.140625" style="128"/>
    <col min="15873" max="15873" width="6.28515625" style="128" customWidth="1"/>
    <col min="15874" max="15874" width="47.42578125" style="128" customWidth="1"/>
    <col min="15875" max="15875" width="16.42578125" style="128" customWidth="1"/>
    <col min="15876" max="15876" width="11.140625" style="128" customWidth="1"/>
    <col min="15877" max="15877" width="19.85546875" style="128" customWidth="1"/>
    <col min="15878" max="15878" width="26.5703125" style="128" customWidth="1"/>
    <col min="15879" max="15879" width="9.140625" style="128"/>
    <col min="15880" max="15880" width="22.5703125" style="128" customWidth="1"/>
    <col min="15881" max="16128" width="9.140625" style="128"/>
    <col min="16129" max="16129" width="6.28515625" style="128" customWidth="1"/>
    <col min="16130" max="16130" width="47.42578125" style="128" customWidth="1"/>
    <col min="16131" max="16131" width="16.42578125" style="128" customWidth="1"/>
    <col min="16132" max="16132" width="11.140625" style="128" customWidth="1"/>
    <col min="16133" max="16133" width="19.85546875" style="128" customWidth="1"/>
    <col min="16134" max="16134" width="26.5703125" style="128" customWidth="1"/>
    <col min="16135" max="16135" width="9.140625" style="128"/>
    <col min="16136" max="16136" width="22.5703125" style="128" customWidth="1"/>
    <col min="16137" max="16384" width="9.140625" style="128"/>
  </cols>
  <sheetData>
    <row r="1" spans="1:10" ht="20.25">
      <c r="A1" s="300"/>
      <c r="B1" s="300"/>
      <c r="C1" s="300"/>
      <c r="D1" s="300"/>
      <c r="E1" s="300"/>
      <c r="F1" s="300"/>
    </row>
    <row r="2" spans="1:10" s="131" customFormat="1" ht="18">
      <c r="A2" s="130" t="s">
        <v>48</v>
      </c>
      <c r="B2" s="130" t="s">
        <v>49</v>
      </c>
      <c r="C2" s="130" t="s">
        <v>50</v>
      </c>
      <c r="D2" s="130" t="s">
        <v>51</v>
      </c>
      <c r="E2" s="130" t="s">
        <v>52</v>
      </c>
      <c r="F2" s="130" t="s">
        <v>53</v>
      </c>
      <c r="H2" s="132"/>
    </row>
    <row r="3" spans="1:10" ht="18">
      <c r="A3" s="133"/>
      <c r="B3" s="134" t="s">
        <v>54</v>
      </c>
      <c r="C3" s="134" t="s">
        <v>1</v>
      </c>
      <c r="D3" s="134">
        <v>20</v>
      </c>
      <c r="E3" s="135">
        <f>'koszty pośrednie'!M11</f>
        <v>307260</v>
      </c>
      <c r="F3" s="136">
        <f>D3*E3</f>
        <v>6145200</v>
      </c>
    </row>
    <row r="4" spans="1:10" ht="18">
      <c r="A4" s="133"/>
      <c r="B4" s="134" t="s">
        <v>334</v>
      </c>
      <c r="C4" s="134" t="s">
        <v>1</v>
      </c>
      <c r="D4" s="134">
        <v>12</v>
      </c>
      <c r="E4" s="135">
        <f>'dworzec tymczasowy'!M2</f>
        <v>41297</v>
      </c>
      <c r="F4" s="136">
        <f>D4*E4</f>
        <v>495564</v>
      </c>
    </row>
    <row r="5" spans="1:10" s="3" customFormat="1" ht="18">
      <c r="A5" s="139"/>
      <c r="B5" s="140" t="s">
        <v>235</v>
      </c>
      <c r="C5" s="140" t="s">
        <v>1</v>
      </c>
      <c r="D5" s="140">
        <v>6</v>
      </c>
      <c r="E5" s="141">
        <f>'BUDŻET TYP A'!M2</f>
        <v>915992.34400000004</v>
      </c>
      <c r="F5" s="136">
        <f t="shared" ref="F5:F9" si="0">D5*E5</f>
        <v>5495954.0640000002</v>
      </c>
      <c r="G5" s="128"/>
      <c r="H5" s="142"/>
      <c r="I5" s="137"/>
      <c r="J5" s="138"/>
    </row>
    <row r="6" spans="1:10" s="3" customFormat="1" ht="18">
      <c r="A6" s="139"/>
      <c r="B6" s="140" t="s">
        <v>236</v>
      </c>
      <c r="C6" s="140" t="s">
        <v>1</v>
      </c>
      <c r="D6" s="140">
        <v>14</v>
      </c>
      <c r="E6" s="141">
        <f>'BUDŻET TYP B'!M2</f>
        <v>1299403.61882</v>
      </c>
      <c r="F6" s="136">
        <f t="shared" si="0"/>
        <v>18191650.663479999</v>
      </c>
      <c r="G6" s="128"/>
      <c r="H6" s="142"/>
      <c r="I6" s="137"/>
      <c r="J6" s="138"/>
    </row>
    <row r="7" spans="1:10" s="3" customFormat="1" ht="18">
      <c r="A7" s="139"/>
      <c r="B7" s="140" t="s">
        <v>185</v>
      </c>
      <c r="C7" s="140" t="s">
        <v>1</v>
      </c>
      <c r="D7" s="140">
        <v>1</v>
      </c>
      <c r="E7" s="141">
        <f>'Zagospodarowanie, rozbiórki,'!M71</f>
        <v>5255342</v>
      </c>
      <c r="F7" s="136">
        <f t="shared" si="0"/>
        <v>5255342</v>
      </c>
      <c r="G7" s="128"/>
      <c r="H7" s="142"/>
      <c r="I7" s="137"/>
      <c r="J7" s="138"/>
    </row>
    <row r="8" spans="1:10" s="3" customFormat="1" ht="18">
      <c r="A8" s="139"/>
      <c r="B8" s="140" t="s">
        <v>237</v>
      </c>
      <c r="C8" s="140" t="s">
        <v>1</v>
      </c>
      <c r="D8" s="140">
        <v>1</v>
      </c>
      <c r="E8" s="141">
        <f>'Zagospodarowanie, rozbiórki,'!M4</f>
        <v>1147000</v>
      </c>
      <c r="F8" s="136">
        <f t="shared" si="0"/>
        <v>1147000</v>
      </c>
      <c r="H8" s="142"/>
      <c r="I8" s="137"/>
      <c r="J8" s="138"/>
    </row>
    <row r="9" spans="1:10" s="3" customFormat="1" ht="18">
      <c r="A9" s="139"/>
      <c r="B9" s="140" t="s">
        <v>238</v>
      </c>
      <c r="C9" s="140" t="s">
        <v>1</v>
      </c>
      <c r="D9" s="140">
        <v>1</v>
      </c>
      <c r="E9" s="141">
        <v>600000</v>
      </c>
      <c r="F9" s="136">
        <f t="shared" si="0"/>
        <v>600000</v>
      </c>
      <c r="H9" s="142"/>
      <c r="I9" s="137"/>
      <c r="J9" s="138"/>
    </row>
    <row r="10" spans="1:10" ht="18">
      <c r="A10" s="297" t="s">
        <v>55</v>
      </c>
      <c r="B10" s="297"/>
      <c r="C10" s="143"/>
      <c r="D10" s="143"/>
      <c r="E10" s="144"/>
      <c r="F10" s="145">
        <f>SUM(F3:F9)</f>
        <v>37330710.727479994</v>
      </c>
    </row>
    <row r="11" spans="1:10" ht="18">
      <c r="A11" s="297" t="s">
        <v>56</v>
      </c>
      <c r="B11" s="297"/>
      <c r="C11" s="143"/>
      <c r="D11" s="143"/>
      <c r="E11" s="144"/>
      <c r="F11" s="145">
        <f>ROUND(F10*0.23,2)</f>
        <v>8586063.4700000007</v>
      </c>
      <c r="I11" s="146"/>
    </row>
    <row r="12" spans="1:10" ht="18">
      <c r="A12" s="297" t="s">
        <v>57</v>
      </c>
      <c r="B12" s="297"/>
      <c r="C12" s="143"/>
      <c r="D12" s="143"/>
      <c r="E12" s="144"/>
      <c r="F12" s="145">
        <f>F10+F11</f>
        <v>45916774.197479993</v>
      </c>
    </row>
    <row r="13" spans="1:10">
      <c r="F13" s="148"/>
    </row>
    <row r="14" spans="1:10">
      <c r="F14" s="128"/>
    </row>
    <row r="15" spans="1:10" ht="18">
      <c r="C15" s="149"/>
      <c r="D15" s="149"/>
    </row>
    <row r="16" spans="1:10">
      <c r="C16" s="150"/>
      <c r="D16" s="150"/>
      <c r="E16" s="129"/>
      <c r="F16" s="298"/>
    </row>
    <row r="17" spans="3:6">
      <c r="C17" s="150"/>
      <c r="D17" s="150"/>
      <c r="E17" s="129"/>
      <c r="F17" s="299"/>
    </row>
    <row r="18" spans="3:6">
      <c r="C18" s="150"/>
      <c r="D18" s="150"/>
      <c r="E18" s="150"/>
    </row>
    <row r="20" spans="3:6">
      <c r="D20" s="129"/>
    </row>
    <row r="21" spans="3:6">
      <c r="D21" s="129"/>
      <c r="F21" s="142"/>
    </row>
    <row r="22" spans="3:6">
      <c r="F22" s="142"/>
    </row>
  </sheetData>
  <mergeCells count="5">
    <mergeCell ref="A11:B11"/>
    <mergeCell ref="A12:B12"/>
    <mergeCell ref="F16:F17"/>
    <mergeCell ref="A1:F1"/>
    <mergeCell ref="A10:B10"/>
  </mergeCells>
  <pageMargins left="0.7" right="0.7" top="0.75" bottom="0.75" header="0.3" footer="0.3"/>
  <pageSetup paperSize="9" scale="57" orientation="portrait" verticalDpi="300" r:id="rId1"/>
  <colBreaks count="1" manualBreakCount="1">
    <brk id="7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4E8B-ECE2-49DB-A475-A5DB768818AA}">
  <sheetPr>
    <pageSetUpPr autoPageBreaks="0" fitToPage="1"/>
  </sheetPr>
  <dimension ref="A6:DK73"/>
  <sheetViews>
    <sheetView tabSelected="1" topLeftCell="A17" zoomScale="67" zoomScaleNormal="60" zoomScaleSheetLayoutView="70" zoomScalePageLayoutView="50" workbookViewId="0">
      <selection activeCell="I58" sqref="I58"/>
    </sheetView>
  </sheetViews>
  <sheetFormatPr defaultColWidth="11.7109375" defaultRowHeight="14.25"/>
  <cols>
    <col min="1" max="1" width="14.7109375" style="212" customWidth="1"/>
    <col min="2" max="2" width="54.7109375" style="210" customWidth="1"/>
    <col min="3" max="3" width="15.85546875" style="210" customWidth="1"/>
    <col min="4" max="4" width="15" style="210" customWidth="1"/>
    <col min="5" max="5" width="12.7109375" style="210" bestFit="1" customWidth="1"/>
    <col min="6" max="6" width="14.140625" style="210" customWidth="1"/>
    <col min="7" max="7" width="17.42578125" style="210" customWidth="1"/>
    <col min="8" max="8" width="15.7109375" style="210" bestFit="1" customWidth="1"/>
    <col min="9" max="9" width="22.7109375" style="210" customWidth="1"/>
    <col min="10" max="10" width="19.5703125" style="210" customWidth="1"/>
    <col min="11" max="11" width="20.85546875" style="210" customWidth="1"/>
    <col min="12" max="12" width="21.28515625" style="210" customWidth="1"/>
    <col min="13" max="13" width="22.5703125" style="210" customWidth="1"/>
    <col min="14" max="14" width="43.28515625" style="211" customWidth="1"/>
    <col min="15" max="15" width="17.7109375" style="211" customWidth="1"/>
    <col min="16" max="115" width="11.7109375" style="211"/>
    <col min="116" max="16384" width="11.7109375" style="210"/>
  </cols>
  <sheetData>
    <row r="6" spans="1:115" ht="27" customHeight="1">
      <c r="A6" s="301"/>
      <c r="B6" s="301"/>
    </row>
    <row r="8" spans="1:115" ht="27" customHeight="1">
      <c r="A8" s="302"/>
      <c r="B8" s="302"/>
    </row>
    <row r="9" spans="1:115" ht="15" thickBot="1"/>
    <row r="10" spans="1:115" ht="54.75" thickBot="1">
      <c r="A10" s="213" t="s">
        <v>239</v>
      </c>
      <c r="B10" s="214" t="s">
        <v>240</v>
      </c>
      <c r="C10" s="215" t="s">
        <v>241</v>
      </c>
      <c r="D10" s="216" t="s">
        <v>242</v>
      </c>
      <c r="E10" s="217" t="s">
        <v>242</v>
      </c>
      <c r="F10" s="218"/>
      <c r="G10" s="218"/>
      <c r="H10" s="218"/>
      <c r="I10" s="219" t="s">
        <v>243</v>
      </c>
      <c r="J10" s="220" t="s">
        <v>244</v>
      </c>
      <c r="K10" s="220" t="s">
        <v>245</v>
      </c>
      <c r="L10" s="220" t="s">
        <v>246</v>
      </c>
      <c r="M10" s="221" t="s">
        <v>247</v>
      </c>
    </row>
    <row r="11" spans="1:115" ht="19.5" thickTop="1" thickBot="1">
      <c r="A11" s="222"/>
      <c r="B11" s="223" t="s">
        <v>248</v>
      </c>
      <c r="C11" s="224"/>
      <c r="D11" s="225"/>
      <c r="E11" s="226"/>
      <c r="F11" s="226"/>
      <c r="G11" s="226"/>
      <c r="H11" s="226"/>
      <c r="I11" s="225"/>
      <c r="J11" s="227"/>
      <c r="K11" s="228"/>
      <c r="L11" s="229"/>
      <c r="M11" s="230">
        <f>SUM(M13:M69)</f>
        <v>307260</v>
      </c>
    </row>
    <row r="12" spans="1:115" ht="18.75" thickTop="1">
      <c r="A12" s="231"/>
      <c r="B12" s="232"/>
      <c r="C12" s="233"/>
      <c r="D12" s="234"/>
      <c r="E12" s="235"/>
      <c r="F12" s="235"/>
      <c r="G12" s="235"/>
      <c r="H12" s="235"/>
      <c r="I12" s="236"/>
      <c r="J12" s="237"/>
      <c r="K12" s="238"/>
      <c r="L12" s="239"/>
      <c r="M12" s="240"/>
    </row>
    <row r="13" spans="1:115" s="250" customFormat="1" ht="18">
      <c r="A13" s="231"/>
      <c r="B13" s="241" t="s">
        <v>249</v>
      </c>
      <c r="C13" s="242"/>
      <c r="D13" s="243"/>
      <c r="E13" s="244" t="s">
        <v>250</v>
      </c>
      <c r="F13" s="244"/>
      <c r="G13" s="244"/>
      <c r="H13" s="244"/>
      <c r="I13" s="245"/>
      <c r="J13" s="246"/>
      <c r="K13" s="247"/>
      <c r="L13" s="248">
        <f>SUM(K14:K15)</f>
        <v>10000</v>
      </c>
      <c r="M13" s="249">
        <f>SUM(L13)</f>
        <v>10000</v>
      </c>
      <c r="N13" s="211" t="s">
        <v>251</v>
      </c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</row>
    <row r="14" spans="1:115" s="252" customFormat="1" ht="18">
      <c r="A14" s="231" t="s">
        <v>252</v>
      </c>
      <c r="B14" s="251" t="s">
        <v>253</v>
      </c>
      <c r="C14" s="242" t="s">
        <v>1</v>
      </c>
      <c r="D14" s="243">
        <v>1</v>
      </c>
      <c r="E14" s="244"/>
      <c r="F14" s="244"/>
      <c r="G14" s="244"/>
      <c r="H14" s="244"/>
      <c r="I14" s="245">
        <v>5000</v>
      </c>
      <c r="J14" s="246"/>
      <c r="K14" s="247">
        <f>I14*D14</f>
        <v>5000</v>
      </c>
      <c r="L14" s="248"/>
      <c r="M14" s="249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</row>
    <row r="15" spans="1:115" s="254" customFormat="1" ht="36">
      <c r="A15" s="231" t="s">
        <v>252</v>
      </c>
      <c r="B15" s="251" t="s">
        <v>254</v>
      </c>
      <c r="C15" s="242" t="s">
        <v>1</v>
      </c>
      <c r="D15" s="243">
        <v>1</v>
      </c>
      <c r="E15" s="244"/>
      <c r="F15" s="244"/>
      <c r="G15" s="253"/>
      <c r="H15" s="244"/>
      <c r="I15" s="245">
        <v>5000</v>
      </c>
      <c r="J15" s="246"/>
      <c r="K15" s="247">
        <f>I15*D15</f>
        <v>5000</v>
      </c>
      <c r="L15" s="248"/>
      <c r="M15" s="249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</row>
    <row r="16" spans="1:115" s="254" customFormat="1" ht="18">
      <c r="A16" s="231"/>
      <c r="B16" s="255"/>
      <c r="C16" s="242"/>
      <c r="D16" s="243"/>
      <c r="E16" s="244"/>
      <c r="F16" s="244"/>
      <c r="G16" s="253"/>
      <c r="H16" s="244"/>
      <c r="I16" s="245"/>
      <c r="J16" s="246"/>
      <c r="K16" s="247"/>
      <c r="L16" s="248"/>
      <c r="M16" s="249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</row>
    <row r="17" spans="1:115" ht="18">
      <c r="A17" s="231"/>
      <c r="B17" s="241" t="s">
        <v>255</v>
      </c>
      <c r="C17" s="242"/>
      <c r="D17" s="243"/>
      <c r="E17" s="244"/>
      <c r="F17" s="244"/>
      <c r="G17" s="253"/>
      <c r="H17" s="244"/>
      <c r="I17" s="245"/>
      <c r="J17" s="246"/>
      <c r="K17" s="247"/>
      <c r="L17" s="248">
        <f>SUM(K18:K18)</f>
        <v>13500</v>
      </c>
      <c r="M17" s="249">
        <f>SUM(L17)</f>
        <v>13500</v>
      </c>
      <c r="N17" s="211" t="s">
        <v>256</v>
      </c>
    </row>
    <row r="18" spans="1:115" ht="18">
      <c r="A18" s="231" t="s">
        <v>257</v>
      </c>
      <c r="B18" s="251" t="s">
        <v>259</v>
      </c>
      <c r="C18" s="242" t="s">
        <v>258</v>
      </c>
      <c r="D18" s="243">
        <v>50</v>
      </c>
      <c r="E18" s="256">
        <v>3</v>
      </c>
      <c r="F18" s="244"/>
      <c r="G18" s="253"/>
      <c r="H18" s="244"/>
      <c r="I18" s="245">
        <v>90</v>
      </c>
      <c r="J18" s="246"/>
      <c r="K18" s="247">
        <f>I18*D18*E18</f>
        <v>13500</v>
      </c>
      <c r="L18" s="248"/>
      <c r="M18" s="249"/>
    </row>
    <row r="19" spans="1:115" ht="18">
      <c r="A19" s="231"/>
      <c r="B19" s="251"/>
      <c r="C19" s="242"/>
      <c r="D19" s="243"/>
      <c r="E19" s="243"/>
      <c r="F19" s="244"/>
      <c r="G19" s="244"/>
      <c r="H19" s="244"/>
      <c r="I19" s="245"/>
      <c r="J19" s="246"/>
      <c r="K19" s="247"/>
      <c r="L19" s="248"/>
      <c r="M19" s="249"/>
    </row>
    <row r="20" spans="1:115" ht="18">
      <c r="A20" s="231"/>
      <c r="B20" s="241" t="s">
        <v>260</v>
      </c>
      <c r="C20" s="242"/>
      <c r="D20" s="243"/>
      <c r="E20" s="243"/>
      <c r="F20" s="244"/>
      <c r="G20" s="244"/>
      <c r="H20" s="244"/>
      <c r="I20" s="245"/>
      <c r="J20" s="246"/>
      <c r="K20" s="247"/>
      <c r="L20" s="248"/>
      <c r="M20" s="249">
        <f>SUM(L21:L40)</f>
        <v>76080</v>
      </c>
    </row>
    <row r="21" spans="1:115" ht="18">
      <c r="A21" s="231" t="s">
        <v>261</v>
      </c>
      <c r="B21" s="257" t="s">
        <v>262</v>
      </c>
      <c r="C21" s="242"/>
      <c r="D21" s="243"/>
      <c r="E21" s="243"/>
      <c r="F21" s="244"/>
      <c r="G21" s="253"/>
      <c r="H21" s="244"/>
      <c r="I21" s="245"/>
      <c r="J21" s="246"/>
      <c r="K21" s="247"/>
      <c r="L21" s="248">
        <f>SUM(K22:K27)</f>
        <v>24080</v>
      </c>
      <c r="M21" s="249"/>
      <c r="N21" s="211" t="s">
        <v>263</v>
      </c>
    </row>
    <row r="22" spans="1:115" ht="18">
      <c r="A22" s="231" t="s">
        <v>261</v>
      </c>
      <c r="B22" s="258" t="s">
        <v>264</v>
      </c>
      <c r="C22" s="242" t="s">
        <v>265</v>
      </c>
      <c r="D22" s="243">
        <v>1</v>
      </c>
      <c r="E22" s="243">
        <v>8</v>
      </c>
      <c r="F22" s="244"/>
      <c r="G22" s="253"/>
      <c r="H22" s="244"/>
      <c r="I22" s="245">
        <v>450</v>
      </c>
      <c r="J22" s="246"/>
      <c r="K22" s="247">
        <f>I22*E22*D22</f>
        <v>3600</v>
      </c>
      <c r="L22" s="248"/>
      <c r="M22" s="249"/>
    </row>
    <row r="23" spans="1:115" ht="18">
      <c r="A23" s="231" t="s">
        <v>261</v>
      </c>
      <c r="B23" s="258" t="s">
        <v>264</v>
      </c>
      <c r="C23" s="242" t="s">
        <v>265</v>
      </c>
      <c r="D23" s="243">
        <v>1</v>
      </c>
      <c r="E23" s="243">
        <v>8</v>
      </c>
      <c r="F23" s="244"/>
      <c r="G23" s="253"/>
      <c r="H23" s="244"/>
      <c r="I23" s="245">
        <v>450</v>
      </c>
      <c r="J23" s="246"/>
      <c r="K23" s="247">
        <f t="shared" ref="K23:K28" si="0">I23*E23*D23</f>
        <v>3600</v>
      </c>
      <c r="L23" s="248"/>
      <c r="M23" s="249"/>
    </row>
    <row r="24" spans="1:115" ht="18">
      <c r="A24" s="259" t="s">
        <v>261</v>
      </c>
      <c r="B24" s="258" t="s">
        <v>266</v>
      </c>
      <c r="C24" s="260" t="s">
        <v>265</v>
      </c>
      <c r="D24" s="261">
        <v>1</v>
      </c>
      <c r="E24" s="261">
        <v>8</v>
      </c>
      <c r="F24" s="262"/>
      <c r="G24" s="253"/>
      <c r="H24" s="262"/>
      <c r="I24" s="263">
        <v>400</v>
      </c>
      <c r="J24" s="264"/>
      <c r="K24" s="247">
        <f t="shared" si="0"/>
        <v>3200</v>
      </c>
      <c r="L24" s="265"/>
      <c r="M24" s="266"/>
    </row>
    <row r="25" spans="1:115" s="254" customFormat="1" ht="18">
      <c r="A25" s="259" t="s">
        <v>261</v>
      </c>
      <c r="B25" s="258" t="s">
        <v>267</v>
      </c>
      <c r="C25" s="260" t="s">
        <v>265</v>
      </c>
      <c r="D25" s="261">
        <v>1</v>
      </c>
      <c r="E25" s="261">
        <v>8</v>
      </c>
      <c r="F25" s="262"/>
      <c r="G25" s="253"/>
      <c r="H25" s="262"/>
      <c r="I25" s="263">
        <v>760</v>
      </c>
      <c r="J25" s="264"/>
      <c r="K25" s="247">
        <f t="shared" si="0"/>
        <v>6080</v>
      </c>
      <c r="L25" s="265"/>
      <c r="M25" s="266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211"/>
      <c r="CO25" s="211"/>
      <c r="CP25" s="211"/>
      <c r="CQ25" s="211"/>
      <c r="CR25" s="211"/>
      <c r="CS25" s="211"/>
      <c r="CT25" s="211"/>
      <c r="CU25" s="211"/>
      <c r="CV25" s="211"/>
      <c r="CW25" s="211"/>
      <c r="CX25" s="211"/>
      <c r="CY25" s="211"/>
      <c r="CZ25" s="211"/>
      <c r="DA25" s="211"/>
      <c r="DB25" s="211"/>
      <c r="DC25" s="211"/>
      <c r="DD25" s="211"/>
      <c r="DE25" s="211"/>
      <c r="DF25" s="211"/>
      <c r="DG25" s="211"/>
      <c r="DH25" s="211"/>
      <c r="DI25" s="211"/>
      <c r="DJ25" s="211"/>
      <c r="DK25" s="211"/>
    </row>
    <row r="26" spans="1:115" ht="18">
      <c r="A26" s="231" t="s">
        <v>261</v>
      </c>
      <c r="B26" s="258" t="s">
        <v>268</v>
      </c>
      <c r="C26" s="242" t="s">
        <v>1</v>
      </c>
      <c r="D26" s="243">
        <v>1</v>
      </c>
      <c r="E26" s="243">
        <v>4</v>
      </c>
      <c r="F26" s="244"/>
      <c r="G26" s="253"/>
      <c r="H26" s="244"/>
      <c r="I26" s="245">
        <v>1400</v>
      </c>
      <c r="J26" s="267"/>
      <c r="K26" s="247">
        <f t="shared" si="0"/>
        <v>5600</v>
      </c>
      <c r="L26" s="248"/>
      <c r="M26" s="249"/>
    </row>
    <row r="27" spans="1:115" ht="18">
      <c r="A27" s="231" t="s">
        <v>269</v>
      </c>
      <c r="B27" s="257" t="s">
        <v>270</v>
      </c>
      <c r="C27" s="242" t="s">
        <v>1</v>
      </c>
      <c r="D27" s="243">
        <v>1</v>
      </c>
      <c r="E27" s="243">
        <v>1</v>
      </c>
      <c r="F27" s="244"/>
      <c r="G27" s="244"/>
      <c r="H27" s="244"/>
      <c r="I27" s="245">
        <v>2000</v>
      </c>
      <c r="J27" s="246"/>
      <c r="K27" s="247">
        <f t="shared" si="0"/>
        <v>2000</v>
      </c>
      <c r="L27" s="248"/>
      <c r="M27" s="249"/>
    </row>
    <row r="28" spans="1:115" ht="18">
      <c r="A28" s="231" t="s">
        <v>271</v>
      </c>
      <c r="B28" s="257" t="s">
        <v>272</v>
      </c>
      <c r="C28" s="242"/>
      <c r="D28" s="243"/>
      <c r="E28" s="243"/>
      <c r="F28" s="244"/>
      <c r="G28" s="244"/>
      <c r="H28" s="244"/>
      <c r="I28" s="245"/>
      <c r="J28" s="246"/>
      <c r="K28" s="247">
        <f t="shared" si="0"/>
        <v>0</v>
      </c>
      <c r="L28" s="248">
        <f>SUM(K29:K30)</f>
        <v>0</v>
      </c>
      <c r="M28" s="249"/>
    </row>
    <row r="29" spans="1:115" s="254" customFormat="1" ht="36">
      <c r="A29" s="231" t="s">
        <v>271</v>
      </c>
      <c r="B29" s="258" t="s">
        <v>273</v>
      </c>
      <c r="C29" s="242" t="s">
        <v>1</v>
      </c>
      <c r="D29" s="243">
        <v>0</v>
      </c>
      <c r="E29" s="243"/>
      <c r="F29" s="244"/>
      <c r="G29" s="244"/>
      <c r="H29" s="244"/>
      <c r="I29" s="245"/>
      <c r="J29" s="246"/>
      <c r="K29" s="247">
        <f>I29</f>
        <v>0</v>
      </c>
      <c r="L29" s="248"/>
      <c r="M29" s="249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  <c r="BI29" s="211"/>
      <c r="BJ29" s="211"/>
      <c r="BK29" s="211"/>
      <c r="BL29" s="211"/>
      <c r="BM29" s="211"/>
      <c r="BN29" s="211"/>
      <c r="BO29" s="211"/>
      <c r="BP29" s="211"/>
      <c r="BQ29" s="211"/>
      <c r="BR29" s="211"/>
      <c r="BS29" s="211"/>
      <c r="BT29" s="211"/>
      <c r="BU29" s="211"/>
      <c r="BV29" s="211"/>
      <c r="BW29" s="211"/>
      <c r="BX29" s="211"/>
      <c r="BY29" s="211"/>
      <c r="BZ29" s="211"/>
      <c r="CA29" s="211"/>
      <c r="CB29" s="211"/>
      <c r="CC29" s="211"/>
      <c r="CD29" s="211"/>
      <c r="CE29" s="211"/>
      <c r="CF29" s="211"/>
      <c r="CG29" s="211"/>
      <c r="CH29" s="211"/>
      <c r="CI29" s="211"/>
      <c r="CJ29" s="211"/>
      <c r="CK29" s="211"/>
      <c r="CL29" s="211"/>
      <c r="CM29" s="211"/>
      <c r="CN29" s="211"/>
      <c r="CO29" s="211"/>
      <c r="CP29" s="211"/>
      <c r="CQ29" s="211"/>
      <c r="CR29" s="211"/>
      <c r="CS29" s="211"/>
      <c r="CT29" s="211"/>
      <c r="CU29" s="211"/>
      <c r="CV29" s="211"/>
      <c r="CW29" s="211"/>
      <c r="CX29" s="211"/>
      <c r="CY29" s="211"/>
      <c r="CZ29" s="211"/>
      <c r="DA29" s="211"/>
      <c r="DB29" s="211"/>
      <c r="DC29" s="211"/>
      <c r="DD29" s="211"/>
      <c r="DE29" s="211"/>
      <c r="DF29" s="211"/>
      <c r="DG29" s="211"/>
      <c r="DH29" s="211"/>
      <c r="DI29" s="211"/>
      <c r="DJ29" s="211"/>
      <c r="DK29" s="211"/>
    </row>
    <row r="30" spans="1:115" ht="54">
      <c r="A30" s="231" t="s">
        <v>271</v>
      </c>
      <c r="B30" s="258" t="s">
        <v>274</v>
      </c>
      <c r="C30" s="242" t="s">
        <v>1</v>
      </c>
      <c r="D30" s="243">
        <v>1</v>
      </c>
      <c r="E30" s="243"/>
      <c r="F30" s="244"/>
      <c r="G30" s="253"/>
      <c r="H30" s="244"/>
      <c r="I30" s="245"/>
      <c r="J30" s="246"/>
      <c r="K30" s="247"/>
      <c r="L30" s="248"/>
      <c r="M30" s="249"/>
    </row>
    <row r="31" spans="1:115" ht="18">
      <c r="A31" s="231" t="s">
        <v>271</v>
      </c>
      <c r="B31" s="257" t="s">
        <v>275</v>
      </c>
      <c r="C31" s="242"/>
      <c r="D31" s="243"/>
      <c r="E31" s="244"/>
      <c r="F31" s="244"/>
      <c r="G31" s="253"/>
      <c r="H31" s="244"/>
      <c r="I31" s="245"/>
      <c r="J31" s="246"/>
      <c r="K31" s="247"/>
      <c r="L31" s="248">
        <f>SUM(K32:K33)</f>
        <v>7000</v>
      </c>
      <c r="M31" s="249"/>
    </row>
    <row r="32" spans="1:115" s="254" customFormat="1" ht="18">
      <c r="A32" s="231" t="s">
        <v>271</v>
      </c>
      <c r="B32" s="258" t="s">
        <v>276</v>
      </c>
      <c r="C32" s="242" t="s">
        <v>1</v>
      </c>
      <c r="D32" s="243">
        <v>1</v>
      </c>
      <c r="E32" s="244"/>
      <c r="F32" s="244"/>
      <c r="G32" s="253"/>
      <c r="H32" s="244"/>
      <c r="I32" s="245">
        <v>5000</v>
      </c>
      <c r="J32" s="246"/>
      <c r="K32" s="247">
        <f>I32</f>
        <v>5000</v>
      </c>
      <c r="L32" s="248"/>
      <c r="M32" s="249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  <c r="BI32" s="211"/>
      <c r="BJ32" s="211"/>
      <c r="BK32" s="211"/>
      <c r="BL32" s="211"/>
      <c r="BM32" s="211"/>
      <c r="BN32" s="211"/>
      <c r="BO32" s="211"/>
      <c r="BP32" s="211"/>
      <c r="BQ32" s="211"/>
      <c r="BR32" s="211"/>
      <c r="BS32" s="211"/>
      <c r="BT32" s="211"/>
      <c r="BU32" s="211"/>
      <c r="BV32" s="211"/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1"/>
      <c r="CK32" s="211"/>
      <c r="CL32" s="211"/>
      <c r="CM32" s="211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1"/>
      <c r="DA32" s="211"/>
      <c r="DB32" s="211"/>
      <c r="DC32" s="211"/>
      <c r="DD32" s="211"/>
      <c r="DE32" s="211"/>
      <c r="DF32" s="211"/>
      <c r="DG32" s="211"/>
      <c r="DH32" s="211"/>
      <c r="DI32" s="211"/>
      <c r="DJ32" s="211"/>
      <c r="DK32" s="211"/>
    </row>
    <row r="33" spans="1:115" ht="36">
      <c r="A33" s="231" t="s">
        <v>271</v>
      </c>
      <c r="B33" s="258" t="s">
        <v>277</v>
      </c>
      <c r="C33" s="242" t="s">
        <v>1</v>
      </c>
      <c r="D33" s="243">
        <v>1</v>
      </c>
      <c r="E33" s="244"/>
      <c r="F33" s="244"/>
      <c r="G33" s="253"/>
      <c r="H33" s="244"/>
      <c r="I33" s="245">
        <v>2000</v>
      </c>
      <c r="J33" s="246"/>
      <c r="K33" s="247">
        <f>I33</f>
        <v>2000</v>
      </c>
      <c r="L33" s="248"/>
      <c r="M33" s="249"/>
    </row>
    <row r="34" spans="1:115" ht="18">
      <c r="A34" s="231" t="s">
        <v>278</v>
      </c>
      <c r="B34" s="257" t="s">
        <v>279</v>
      </c>
      <c r="C34" s="242"/>
      <c r="D34" s="243"/>
      <c r="E34" s="244"/>
      <c r="F34" s="244"/>
      <c r="G34" s="253"/>
      <c r="H34" s="244"/>
      <c r="I34" s="245"/>
      <c r="J34" s="246"/>
      <c r="K34" s="247"/>
      <c r="L34" s="248">
        <f>SUM(K35:K36)</f>
        <v>7000</v>
      </c>
      <c r="M34" s="249"/>
    </row>
    <row r="35" spans="1:115" ht="18">
      <c r="A35" s="231" t="s">
        <v>278</v>
      </c>
      <c r="B35" s="268" t="s">
        <v>280</v>
      </c>
      <c r="C35" s="242" t="s">
        <v>1</v>
      </c>
      <c r="D35" s="243">
        <v>1</v>
      </c>
      <c r="E35" s="244"/>
      <c r="F35" s="244"/>
      <c r="G35" s="253"/>
      <c r="H35" s="244"/>
      <c r="I35" s="245">
        <v>5000</v>
      </c>
      <c r="J35" s="246"/>
      <c r="K35" s="247">
        <f>I35*D35</f>
        <v>5000</v>
      </c>
      <c r="L35" s="248"/>
      <c r="M35" s="249"/>
    </row>
    <row r="36" spans="1:115" s="254" customFormat="1" ht="18">
      <c r="A36" s="231" t="s">
        <v>278</v>
      </c>
      <c r="B36" s="268" t="s">
        <v>281</v>
      </c>
      <c r="C36" s="242" t="s">
        <v>1</v>
      </c>
      <c r="D36" s="243">
        <v>1</v>
      </c>
      <c r="E36" s="244"/>
      <c r="F36" s="244"/>
      <c r="G36" s="253"/>
      <c r="H36" s="244"/>
      <c r="I36" s="245">
        <v>2000</v>
      </c>
      <c r="J36" s="246"/>
      <c r="K36" s="247">
        <f t="shared" ref="K36:K40" si="1">I36*D36</f>
        <v>2000</v>
      </c>
      <c r="L36" s="248"/>
      <c r="M36" s="249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1"/>
      <c r="CJ36" s="211"/>
      <c r="CK36" s="211"/>
      <c r="CL36" s="211"/>
      <c r="CM36" s="211"/>
      <c r="CN36" s="211"/>
      <c r="CO36" s="211"/>
      <c r="CP36" s="211"/>
      <c r="CQ36" s="211"/>
      <c r="CR36" s="211"/>
      <c r="CS36" s="211"/>
      <c r="CT36" s="211"/>
      <c r="CU36" s="211"/>
      <c r="CV36" s="211"/>
      <c r="CW36" s="211"/>
      <c r="CX36" s="211"/>
      <c r="CY36" s="211"/>
      <c r="CZ36" s="211"/>
      <c r="DA36" s="211"/>
      <c r="DB36" s="211"/>
      <c r="DC36" s="211"/>
      <c r="DD36" s="211"/>
      <c r="DE36" s="211"/>
      <c r="DF36" s="211"/>
      <c r="DG36" s="211"/>
      <c r="DH36" s="211"/>
      <c r="DI36" s="211"/>
      <c r="DJ36" s="211"/>
      <c r="DK36" s="211"/>
    </row>
    <row r="37" spans="1:115" ht="18">
      <c r="A37" s="231" t="s">
        <v>282</v>
      </c>
      <c r="B37" s="257" t="s">
        <v>283</v>
      </c>
      <c r="C37" s="242"/>
      <c r="D37" s="243"/>
      <c r="E37" s="244"/>
      <c r="F37" s="244"/>
      <c r="G37" s="253"/>
      <c r="H37" s="244"/>
      <c r="I37" s="269"/>
      <c r="J37" s="246"/>
      <c r="K37" s="247"/>
      <c r="L37" s="248">
        <f>SUM(K38:K38)</f>
        <v>28000</v>
      </c>
      <c r="M37" s="249"/>
    </row>
    <row r="38" spans="1:115" ht="18">
      <c r="A38" s="231" t="s">
        <v>282</v>
      </c>
      <c r="B38" s="268" t="s">
        <v>284</v>
      </c>
      <c r="C38" s="242" t="s">
        <v>2</v>
      </c>
      <c r="D38" s="243">
        <v>400</v>
      </c>
      <c r="E38" s="243"/>
      <c r="F38" s="244"/>
      <c r="G38" s="244"/>
      <c r="H38" s="244"/>
      <c r="I38" s="245">
        <v>70</v>
      </c>
      <c r="J38" s="246"/>
      <c r="K38" s="247">
        <f t="shared" si="1"/>
        <v>28000</v>
      </c>
      <c r="L38" s="248"/>
      <c r="M38" s="249"/>
    </row>
    <row r="39" spans="1:115" s="252" customFormat="1" ht="18">
      <c r="A39" s="231"/>
      <c r="B39" s="257" t="s">
        <v>285</v>
      </c>
      <c r="C39" s="242"/>
      <c r="D39" s="243"/>
      <c r="E39" s="244"/>
      <c r="F39" s="244"/>
      <c r="G39" s="244"/>
      <c r="H39" s="244"/>
      <c r="I39" s="245"/>
      <c r="J39" s="246"/>
      <c r="K39" s="247"/>
      <c r="L39" s="248">
        <f>SUM(K40:K40)</f>
        <v>10000</v>
      </c>
      <c r="M39" s="249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1"/>
      <c r="BU39" s="211"/>
      <c r="BV39" s="211"/>
      <c r="BW39" s="211"/>
      <c r="BX39" s="211"/>
      <c r="BY39" s="211"/>
      <c r="BZ39" s="211"/>
      <c r="CA39" s="211"/>
      <c r="CB39" s="211"/>
      <c r="CC39" s="211"/>
      <c r="CD39" s="211"/>
      <c r="CE39" s="211"/>
      <c r="CF39" s="211"/>
      <c r="CG39" s="211"/>
      <c r="CH39" s="211"/>
      <c r="CI39" s="211"/>
      <c r="CJ39" s="211"/>
      <c r="CK39" s="211"/>
      <c r="CL39" s="211"/>
      <c r="CM39" s="211"/>
      <c r="CN39" s="211"/>
      <c r="CO39" s="211"/>
      <c r="CP39" s="211"/>
      <c r="CQ39" s="211"/>
      <c r="CR39" s="211"/>
      <c r="CS39" s="211"/>
      <c r="CT39" s="211"/>
      <c r="CU39" s="211"/>
      <c r="CV39" s="211"/>
      <c r="CW39" s="211"/>
      <c r="CX39" s="211"/>
      <c r="CY39" s="211"/>
      <c r="CZ39" s="211"/>
      <c r="DA39" s="211"/>
      <c r="DB39" s="211"/>
      <c r="DC39" s="211"/>
      <c r="DD39" s="211"/>
      <c r="DE39" s="211"/>
      <c r="DF39" s="211"/>
      <c r="DG39" s="211"/>
      <c r="DH39" s="211"/>
      <c r="DI39" s="211"/>
      <c r="DJ39" s="211"/>
      <c r="DK39" s="211"/>
    </row>
    <row r="40" spans="1:115" ht="30" customHeight="1">
      <c r="A40" s="231"/>
      <c r="B40" s="258" t="s">
        <v>286</v>
      </c>
      <c r="C40" s="242" t="s">
        <v>1</v>
      </c>
      <c r="D40" s="243">
        <v>1</v>
      </c>
      <c r="E40" s="244"/>
      <c r="F40" s="244"/>
      <c r="G40" s="244"/>
      <c r="H40" s="244"/>
      <c r="I40" s="245">
        <v>10000</v>
      </c>
      <c r="J40" s="246"/>
      <c r="K40" s="247">
        <f t="shared" si="1"/>
        <v>10000</v>
      </c>
      <c r="L40" s="248"/>
      <c r="M40" s="249"/>
    </row>
    <row r="41" spans="1:115" ht="22.5" customHeight="1">
      <c r="A41" s="270"/>
      <c r="B41" s="271"/>
      <c r="C41" s="242"/>
      <c r="D41" s="243"/>
      <c r="E41" s="244"/>
      <c r="F41" s="244"/>
      <c r="G41" s="253"/>
      <c r="H41" s="244"/>
      <c r="I41" s="245"/>
      <c r="J41" s="246"/>
      <c r="K41" s="247"/>
      <c r="L41" s="248"/>
      <c r="M41" s="249"/>
    </row>
    <row r="42" spans="1:115" s="252" customFormat="1" ht="18">
      <c r="A42" s="231"/>
      <c r="B42" s="241" t="s">
        <v>287</v>
      </c>
      <c r="C42" s="242"/>
      <c r="D42" s="243"/>
      <c r="E42" s="244"/>
      <c r="F42" s="244"/>
      <c r="G42" s="253"/>
      <c r="H42" s="244"/>
      <c r="I42" s="245"/>
      <c r="J42" s="246"/>
      <c r="K42" s="247"/>
      <c r="L42" s="248">
        <f>SUM(K43:K53)</f>
        <v>24680</v>
      </c>
      <c r="M42" s="249">
        <f>L42</f>
        <v>24680</v>
      </c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211"/>
      <c r="CT42" s="211"/>
      <c r="CU42" s="211"/>
      <c r="CV42" s="211"/>
      <c r="CW42" s="211"/>
      <c r="CX42" s="211"/>
      <c r="CY42" s="211"/>
      <c r="CZ42" s="211"/>
      <c r="DA42" s="211"/>
      <c r="DB42" s="211"/>
      <c r="DC42" s="211"/>
      <c r="DD42" s="211"/>
      <c r="DE42" s="211"/>
      <c r="DF42" s="211"/>
      <c r="DG42" s="211"/>
      <c r="DH42" s="211"/>
      <c r="DI42" s="211"/>
      <c r="DJ42" s="211"/>
      <c r="DK42" s="211"/>
    </row>
    <row r="43" spans="1:115" s="254" customFormat="1" ht="18">
      <c r="A43" s="231" t="s">
        <v>288</v>
      </c>
      <c r="B43" s="251" t="s">
        <v>289</v>
      </c>
      <c r="C43" s="242" t="s">
        <v>250</v>
      </c>
      <c r="D43" s="243">
        <v>1</v>
      </c>
      <c r="E43" s="243">
        <v>8</v>
      </c>
      <c r="F43" s="256"/>
      <c r="G43" s="253"/>
      <c r="H43" s="244"/>
      <c r="I43" s="245">
        <v>60</v>
      </c>
      <c r="J43" s="246"/>
      <c r="K43" s="247">
        <f>I43*E43*D43</f>
        <v>480</v>
      </c>
      <c r="L43" s="248"/>
      <c r="M43" s="249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1"/>
      <c r="BO43" s="211"/>
      <c r="BP43" s="211"/>
      <c r="BQ43" s="211"/>
      <c r="BR43" s="211"/>
      <c r="BS43" s="211"/>
      <c r="BT43" s="211"/>
      <c r="BU43" s="211"/>
      <c r="BV43" s="211"/>
      <c r="BW43" s="211"/>
      <c r="BX43" s="211"/>
      <c r="BY43" s="211"/>
      <c r="BZ43" s="211"/>
      <c r="CA43" s="211"/>
      <c r="CB43" s="211"/>
      <c r="CC43" s="211"/>
      <c r="CD43" s="211"/>
      <c r="CE43" s="211"/>
      <c r="CF43" s="211"/>
      <c r="CG43" s="211"/>
      <c r="CH43" s="211"/>
      <c r="CI43" s="211"/>
      <c r="CJ43" s="211"/>
      <c r="CK43" s="211"/>
      <c r="CL43" s="211"/>
      <c r="CM43" s="211"/>
      <c r="CN43" s="211"/>
      <c r="CO43" s="211"/>
      <c r="CP43" s="211"/>
      <c r="CQ43" s="211"/>
      <c r="CR43" s="211"/>
      <c r="CS43" s="211"/>
      <c r="CT43" s="211"/>
      <c r="CU43" s="211"/>
      <c r="CV43" s="211"/>
      <c r="CW43" s="211"/>
      <c r="CX43" s="211"/>
      <c r="CY43" s="211"/>
      <c r="CZ43" s="211"/>
      <c r="DA43" s="211"/>
      <c r="DB43" s="211"/>
      <c r="DC43" s="211"/>
      <c r="DD43" s="211"/>
      <c r="DE43" s="211"/>
      <c r="DF43" s="211"/>
      <c r="DG43" s="211"/>
      <c r="DH43" s="211"/>
      <c r="DI43" s="211"/>
      <c r="DJ43" s="211"/>
      <c r="DK43" s="211"/>
    </row>
    <row r="44" spans="1:115" ht="18">
      <c r="A44" s="231" t="s">
        <v>290</v>
      </c>
      <c r="B44" s="251" t="s">
        <v>291</v>
      </c>
      <c r="C44" s="242" t="s">
        <v>1</v>
      </c>
      <c r="D44" s="243">
        <v>1</v>
      </c>
      <c r="E44" s="243">
        <v>1</v>
      </c>
      <c r="F44" s="256"/>
      <c r="G44" s="253"/>
      <c r="H44" s="244"/>
      <c r="I44" s="245">
        <v>1000</v>
      </c>
      <c r="J44" s="246"/>
      <c r="K44" s="247">
        <f>I44*E44*D44</f>
        <v>1000</v>
      </c>
      <c r="L44" s="248"/>
      <c r="M44" s="249"/>
    </row>
    <row r="45" spans="1:115" ht="18">
      <c r="A45" s="231" t="s">
        <v>292</v>
      </c>
      <c r="B45" s="251" t="s">
        <v>293</v>
      </c>
      <c r="C45" s="242" t="s">
        <v>250</v>
      </c>
      <c r="D45" s="243">
        <v>1</v>
      </c>
      <c r="E45" s="243">
        <v>8</v>
      </c>
      <c r="F45" s="256"/>
      <c r="G45" s="253"/>
      <c r="H45" s="244"/>
      <c r="I45" s="245">
        <v>200</v>
      </c>
      <c r="J45" s="246"/>
      <c r="K45" s="247">
        <f>I45*E45</f>
        <v>1600</v>
      </c>
      <c r="L45" s="248"/>
      <c r="M45" s="249"/>
    </row>
    <row r="46" spans="1:115" ht="18">
      <c r="A46" s="231" t="s">
        <v>292</v>
      </c>
      <c r="B46" s="251" t="s">
        <v>294</v>
      </c>
      <c r="C46" s="242" t="s">
        <v>250</v>
      </c>
      <c r="D46" s="243">
        <v>1</v>
      </c>
      <c r="E46" s="243">
        <v>8</v>
      </c>
      <c r="F46" s="256"/>
      <c r="G46" s="253"/>
      <c r="H46" s="244"/>
      <c r="I46" s="245">
        <v>100</v>
      </c>
      <c r="J46" s="246"/>
      <c r="K46" s="247">
        <f>I46*E46</f>
        <v>800</v>
      </c>
      <c r="L46" s="248"/>
      <c r="M46" s="249"/>
    </row>
    <row r="47" spans="1:115" ht="18">
      <c r="A47" s="231" t="s">
        <v>290</v>
      </c>
      <c r="B47" s="251" t="s">
        <v>295</v>
      </c>
      <c r="C47" s="242" t="s">
        <v>250</v>
      </c>
      <c r="D47" s="243">
        <v>0</v>
      </c>
      <c r="E47" s="243">
        <v>4</v>
      </c>
      <c r="F47" s="256"/>
      <c r="G47" s="253"/>
      <c r="H47" s="244"/>
      <c r="I47" s="245"/>
      <c r="J47" s="246"/>
      <c r="K47" s="247">
        <f t="shared" ref="K47:K53" si="2">I47*E47*D47</f>
        <v>0</v>
      </c>
      <c r="L47" s="248"/>
      <c r="M47" s="249"/>
    </row>
    <row r="48" spans="1:115" ht="18">
      <c r="A48" s="231" t="s">
        <v>296</v>
      </c>
      <c r="B48" s="251" t="s">
        <v>297</v>
      </c>
      <c r="C48" s="242" t="s">
        <v>265</v>
      </c>
      <c r="D48" s="243">
        <v>1</v>
      </c>
      <c r="E48" s="243">
        <v>8</v>
      </c>
      <c r="F48" s="256"/>
      <c r="G48" s="253"/>
      <c r="H48" s="244"/>
      <c r="I48" s="245">
        <v>500</v>
      </c>
      <c r="J48" s="246"/>
      <c r="K48" s="247">
        <f t="shared" si="2"/>
        <v>4000</v>
      </c>
      <c r="L48" s="248"/>
      <c r="M48" s="249"/>
    </row>
    <row r="49" spans="1:115" s="254" customFormat="1" ht="18">
      <c r="A49" s="231" t="s">
        <v>298</v>
      </c>
      <c r="B49" s="251" t="s">
        <v>299</v>
      </c>
      <c r="C49" s="242" t="s">
        <v>250</v>
      </c>
      <c r="D49" s="243">
        <v>1</v>
      </c>
      <c r="E49" s="243">
        <v>8</v>
      </c>
      <c r="F49" s="256"/>
      <c r="G49" s="244"/>
      <c r="H49" s="244"/>
      <c r="I49" s="245">
        <v>1500</v>
      </c>
      <c r="J49" s="246"/>
      <c r="K49" s="247">
        <f t="shared" si="2"/>
        <v>12000</v>
      </c>
      <c r="L49" s="248"/>
      <c r="M49" s="249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211"/>
      <c r="CD49" s="211"/>
      <c r="CE49" s="211"/>
      <c r="CF49" s="211"/>
      <c r="CG49" s="211"/>
      <c r="CH49" s="211"/>
      <c r="CI49" s="211"/>
      <c r="CJ49" s="211"/>
      <c r="CK49" s="211"/>
      <c r="CL49" s="211"/>
      <c r="CM49" s="211"/>
      <c r="CN49" s="211"/>
      <c r="CO49" s="211"/>
      <c r="CP49" s="211"/>
      <c r="CQ49" s="211"/>
      <c r="CR49" s="211"/>
      <c r="CS49" s="211"/>
      <c r="CT49" s="211"/>
      <c r="CU49" s="211"/>
      <c r="CV49" s="211"/>
      <c r="CW49" s="211"/>
      <c r="CX49" s="211"/>
      <c r="CY49" s="211"/>
      <c r="CZ49" s="211"/>
      <c r="DA49" s="211"/>
      <c r="DB49" s="211"/>
      <c r="DC49" s="211"/>
      <c r="DD49" s="211"/>
      <c r="DE49" s="211"/>
      <c r="DF49" s="211"/>
      <c r="DG49" s="211"/>
      <c r="DH49" s="211"/>
      <c r="DI49" s="211"/>
      <c r="DJ49" s="211"/>
      <c r="DK49" s="211"/>
    </row>
    <row r="50" spans="1:115" ht="18">
      <c r="A50" s="231" t="s">
        <v>300</v>
      </c>
      <c r="B50" s="251" t="s">
        <v>301</v>
      </c>
      <c r="C50" s="242" t="s">
        <v>250</v>
      </c>
      <c r="D50" s="243">
        <v>1</v>
      </c>
      <c r="E50" s="243">
        <v>8</v>
      </c>
      <c r="F50" s="256"/>
      <c r="G50" s="244"/>
      <c r="H50" s="244"/>
      <c r="I50" s="245">
        <v>300</v>
      </c>
      <c r="J50" s="246"/>
      <c r="K50" s="247">
        <f t="shared" si="2"/>
        <v>2400</v>
      </c>
      <c r="L50" s="248"/>
      <c r="M50" s="249"/>
    </row>
    <row r="51" spans="1:115" ht="18">
      <c r="A51" s="231" t="s">
        <v>302</v>
      </c>
      <c r="B51" s="251" t="s">
        <v>303</v>
      </c>
      <c r="C51" s="242" t="s">
        <v>250</v>
      </c>
      <c r="D51" s="243">
        <v>0</v>
      </c>
      <c r="E51" s="243"/>
      <c r="F51" s="256"/>
      <c r="G51" s="253"/>
      <c r="H51" s="244"/>
      <c r="I51" s="245"/>
      <c r="J51" s="246"/>
      <c r="K51" s="247">
        <f>I51*E51</f>
        <v>0</v>
      </c>
      <c r="L51" s="248"/>
      <c r="M51" s="249"/>
    </row>
    <row r="52" spans="1:115" ht="18">
      <c r="A52" s="231" t="s">
        <v>292</v>
      </c>
      <c r="B52" s="251" t="s">
        <v>304</v>
      </c>
      <c r="C52" s="242" t="s">
        <v>1</v>
      </c>
      <c r="D52" s="243">
        <v>1</v>
      </c>
      <c r="E52" s="243">
        <v>8</v>
      </c>
      <c r="F52" s="256"/>
      <c r="G52" s="253"/>
      <c r="H52" s="244"/>
      <c r="I52" s="245">
        <v>150</v>
      </c>
      <c r="J52" s="246"/>
      <c r="K52" s="247">
        <f>I52*E52</f>
        <v>1200</v>
      </c>
      <c r="L52" s="248"/>
      <c r="M52" s="249"/>
    </row>
    <row r="53" spans="1:115" ht="18">
      <c r="A53" s="272" t="s">
        <v>305</v>
      </c>
      <c r="B53" s="273" t="s">
        <v>306</v>
      </c>
      <c r="C53" s="242" t="s">
        <v>1</v>
      </c>
      <c r="D53" s="243">
        <v>1</v>
      </c>
      <c r="E53" s="243">
        <v>8</v>
      </c>
      <c r="F53" s="256"/>
      <c r="G53" s="253"/>
      <c r="H53" s="244"/>
      <c r="I53" s="245">
        <v>150</v>
      </c>
      <c r="J53" s="246"/>
      <c r="K53" s="247">
        <f t="shared" si="2"/>
        <v>1200</v>
      </c>
      <c r="L53" s="248"/>
      <c r="M53" s="249"/>
    </row>
    <row r="54" spans="1:115" ht="18">
      <c r="A54" s="272"/>
      <c r="B54" s="273"/>
      <c r="C54" s="242"/>
      <c r="D54" s="243"/>
      <c r="E54" s="256"/>
      <c r="F54" s="256"/>
      <c r="G54" s="253"/>
      <c r="H54" s="244"/>
      <c r="I54" s="245"/>
      <c r="J54" s="246"/>
      <c r="K54" s="247"/>
      <c r="L54" s="248"/>
      <c r="M54" s="249"/>
    </row>
    <row r="55" spans="1:115" s="254" customFormat="1" ht="18">
      <c r="A55" s="231"/>
      <c r="B55" s="241" t="s">
        <v>307</v>
      </c>
      <c r="C55" s="242"/>
      <c r="D55" s="243"/>
      <c r="E55" s="256"/>
      <c r="F55" s="256"/>
      <c r="G55" s="253"/>
      <c r="H55" s="244"/>
      <c r="I55" s="245"/>
      <c r="J55" s="246"/>
      <c r="K55" s="247"/>
      <c r="L55" s="248">
        <f>SUM(K56:K61)</f>
        <v>128000</v>
      </c>
      <c r="M55" s="249">
        <f>L55</f>
        <v>128000</v>
      </c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  <c r="BI55" s="211"/>
      <c r="BJ55" s="211"/>
      <c r="BK55" s="211"/>
      <c r="BL55" s="211"/>
      <c r="BM55" s="211"/>
      <c r="BN55" s="211"/>
      <c r="BO55" s="211"/>
      <c r="BP55" s="211"/>
      <c r="BQ55" s="211"/>
      <c r="BR55" s="211"/>
      <c r="BS55" s="211"/>
      <c r="BT55" s="211"/>
      <c r="BU55" s="211"/>
      <c r="BV55" s="211"/>
      <c r="BW55" s="211"/>
      <c r="BX55" s="211"/>
      <c r="BY55" s="211"/>
      <c r="BZ55" s="211"/>
      <c r="CA55" s="211"/>
      <c r="CB55" s="211"/>
      <c r="CC55" s="211"/>
      <c r="CD55" s="211"/>
      <c r="CE55" s="211"/>
      <c r="CF55" s="211"/>
      <c r="CG55" s="211"/>
      <c r="CH55" s="211"/>
      <c r="CI55" s="211"/>
      <c r="CJ55" s="211"/>
      <c r="CK55" s="211"/>
      <c r="CL55" s="211"/>
      <c r="CM55" s="211"/>
      <c r="CN55" s="211"/>
      <c r="CO55" s="211"/>
      <c r="CP55" s="211"/>
      <c r="CQ55" s="211"/>
      <c r="CR55" s="211"/>
      <c r="CS55" s="211"/>
      <c r="CT55" s="211"/>
      <c r="CU55" s="211"/>
      <c r="CV55" s="211"/>
      <c r="CW55" s="211"/>
      <c r="CX55" s="211"/>
      <c r="CY55" s="211"/>
      <c r="CZ55" s="211"/>
      <c r="DA55" s="211"/>
      <c r="DB55" s="211"/>
      <c r="DC55" s="211"/>
      <c r="DD55" s="211"/>
      <c r="DE55" s="211"/>
      <c r="DF55" s="211"/>
      <c r="DG55" s="211"/>
      <c r="DH55" s="211"/>
      <c r="DI55" s="211"/>
      <c r="DJ55" s="211"/>
      <c r="DK55" s="211"/>
    </row>
    <row r="56" spans="1:115" ht="18">
      <c r="A56" s="231" t="s">
        <v>308</v>
      </c>
      <c r="B56" s="274" t="s">
        <v>309</v>
      </c>
      <c r="C56" s="242" t="s">
        <v>310</v>
      </c>
      <c r="D56" s="243">
        <v>1</v>
      </c>
      <c r="E56" s="243">
        <v>8</v>
      </c>
      <c r="F56" s="256"/>
      <c r="G56" s="253"/>
      <c r="H56" s="244"/>
      <c r="I56" s="245">
        <v>12000</v>
      </c>
      <c r="J56" s="246"/>
      <c r="K56" s="275">
        <f>I56*E56*D56</f>
        <v>96000</v>
      </c>
      <c r="L56" s="248"/>
      <c r="M56" s="249"/>
    </row>
    <row r="57" spans="1:115" ht="18">
      <c r="A57" s="231" t="s">
        <v>311</v>
      </c>
      <c r="B57" s="274" t="s">
        <v>312</v>
      </c>
      <c r="C57" s="242" t="s">
        <v>310</v>
      </c>
      <c r="D57" s="243">
        <v>0</v>
      </c>
      <c r="E57" s="243">
        <v>8</v>
      </c>
      <c r="F57" s="256"/>
      <c r="G57" s="253"/>
      <c r="H57" s="244"/>
      <c r="I57" s="245">
        <v>0</v>
      </c>
      <c r="J57" s="246"/>
      <c r="K57" s="275">
        <f>I57*E57*D57</f>
        <v>0</v>
      </c>
      <c r="L57" s="248"/>
      <c r="M57" s="249"/>
    </row>
    <row r="58" spans="1:115" ht="18">
      <c r="A58" s="231" t="s">
        <v>313</v>
      </c>
      <c r="B58" s="258" t="s">
        <v>314</v>
      </c>
      <c r="C58" s="242" t="s">
        <v>310</v>
      </c>
      <c r="D58" s="243">
        <v>1</v>
      </c>
      <c r="E58" s="256">
        <v>8</v>
      </c>
      <c r="F58" s="256"/>
      <c r="G58" s="253"/>
      <c r="H58" s="244"/>
      <c r="I58" s="245">
        <v>2000</v>
      </c>
      <c r="J58" s="246"/>
      <c r="K58" s="247">
        <f>I58*E58*D58</f>
        <v>16000</v>
      </c>
      <c r="L58" s="248"/>
      <c r="M58" s="249"/>
    </row>
    <row r="59" spans="1:115" ht="36">
      <c r="A59" s="231" t="s">
        <v>315</v>
      </c>
      <c r="B59" s="258" t="s">
        <v>316</v>
      </c>
      <c r="C59" s="242" t="s">
        <v>310</v>
      </c>
      <c r="D59" s="243">
        <v>1</v>
      </c>
      <c r="E59" s="243">
        <v>8</v>
      </c>
      <c r="F59" s="256"/>
      <c r="G59" s="244"/>
      <c r="H59" s="244"/>
      <c r="I59" s="245">
        <v>500</v>
      </c>
      <c r="J59" s="246"/>
      <c r="K59" s="247">
        <f>I59*E59*D59</f>
        <v>4000</v>
      </c>
      <c r="L59" s="248"/>
      <c r="M59" s="249"/>
    </row>
    <row r="60" spans="1:115" ht="18">
      <c r="A60" s="231" t="s">
        <v>317</v>
      </c>
      <c r="B60" s="258" t="s">
        <v>318</v>
      </c>
      <c r="C60" s="242" t="s">
        <v>310</v>
      </c>
      <c r="D60" s="243">
        <v>0</v>
      </c>
      <c r="E60" s="243"/>
      <c r="F60" s="256"/>
      <c r="G60" s="244"/>
      <c r="H60" s="244"/>
      <c r="I60" s="245">
        <v>400</v>
      </c>
      <c r="J60" s="246"/>
      <c r="K60" s="247">
        <f t="shared" ref="K60:K61" si="3">I60*E60*D60</f>
        <v>0</v>
      </c>
      <c r="L60" s="248"/>
      <c r="M60" s="249"/>
    </row>
    <row r="61" spans="1:115" ht="18">
      <c r="A61" s="231" t="s">
        <v>317</v>
      </c>
      <c r="B61" s="258" t="s">
        <v>319</v>
      </c>
      <c r="C61" s="242" t="s">
        <v>310</v>
      </c>
      <c r="D61" s="243">
        <v>1</v>
      </c>
      <c r="E61" s="243">
        <v>8</v>
      </c>
      <c r="F61" s="256"/>
      <c r="G61" s="244"/>
      <c r="H61" s="244"/>
      <c r="I61" s="245">
        <v>1500</v>
      </c>
      <c r="J61" s="246"/>
      <c r="K61" s="247">
        <f t="shared" si="3"/>
        <v>12000</v>
      </c>
      <c r="L61" s="248"/>
      <c r="M61" s="249"/>
      <c r="N61" s="211" t="s">
        <v>320</v>
      </c>
    </row>
    <row r="62" spans="1:115" ht="18">
      <c r="A62" s="231"/>
      <c r="B62" s="241" t="s">
        <v>321</v>
      </c>
      <c r="C62" s="276"/>
      <c r="D62" s="277"/>
      <c r="E62" s="253"/>
      <c r="F62" s="253"/>
      <c r="G62" s="253"/>
      <c r="H62" s="253"/>
      <c r="I62" s="278"/>
      <c r="J62" s="279"/>
      <c r="K62" s="280"/>
      <c r="L62" s="248">
        <f>SUM(K63:K70)</f>
        <v>55000</v>
      </c>
      <c r="M62" s="249">
        <f>L62</f>
        <v>55000</v>
      </c>
    </row>
    <row r="63" spans="1:115" ht="18">
      <c r="A63" s="231" t="s">
        <v>292</v>
      </c>
      <c r="B63" s="258" t="s">
        <v>322</v>
      </c>
      <c r="C63" s="276" t="s">
        <v>1</v>
      </c>
      <c r="D63" s="277">
        <v>1</v>
      </c>
      <c r="E63" s="253"/>
      <c r="F63" s="253"/>
      <c r="G63" s="253"/>
      <c r="H63" s="253"/>
      <c r="I63" s="278">
        <v>5000</v>
      </c>
      <c r="J63" s="279"/>
      <c r="K63" s="280">
        <f>I63*D63</f>
        <v>5000</v>
      </c>
      <c r="L63" s="248"/>
      <c r="M63" s="249"/>
    </row>
    <row r="64" spans="1:115" ht="36">
      <c r="A64" s="231" t="s">
        <v>282</v>
      </c>
      <c r="B64" s="258" t="s">
        <v>323</v>
      </c>
      <c r="C64" s="276" t="s">
        <v>1</v>
      </c>
      <c r="D64" s="277">
        <v>1</v>
      </c>
      <c r="E64" s="253"/>
      <c r="F64" s="253"/>
      <c r="G64" s="253"/>
      <c r="H64" s="253"/>
      <c r="I64" s="278"/>
      <c r="J64" s="279"/>
      <c r="K64" s="280">
        <f>I64*D64</f>
        <v>0</v>
      </c>
      <c r="L64" s="248"/>
      <c r="M64" s="249"/>
    </row>
    <row r="65" spans="1:13" ht="18">
      <c r="A65" s="231" t="s">
        <v>282</v>
      </c>
      <c r="B65" s="258" t="s">
        <v>324</v>
      </c>
      <c r="C65" s="276" t="s">
        <v>1</v>
      </c>
      <c r="D65" s="277">
        <v>1</v>
      </c>
      <c r="E65" s="253"/>
      <c r="F65" s="253"/>
      <c r="G65" s="253"/>
      <c r="H65" s="253"/>
      <c r="I65" s="278"/>
      <c r="J65" s="279"/>
      <c r="K65" s="280">
        <f t="shared" ref="K65:K69" si="4">D65*I65</f>
        <v>0</v>
      </c>
      <c r="L65" s="248"/>
      <c r="M65" s="249"/>
    </row>
    <row r="66" spans="1:13" ht="18">
      <c r="A66" s="231" t="s">
        <v>325</v>
      </c>
      <c r="B66" s="258" t="s">
        <v>326</v>
      </c>
      <c r="C66" s="276" t="s">
        <v>250</v>
      </c>
      <c r="D66" s="277">
        <v>1</v>
      </c>
      <c r="E66" s="243">
        <v>5</v>
      </c>
      <c r="F66" s="253"/>
      <c r="G66" s="253"/>
      <c r="H66" s="253"/>
      <c r="I66" s="278">
        <v>10000</v>
      </c>
      <c r="J66" s="279"/>
      <c r="K66" s="280">
        <f>I66*E66</f>
        <v>50000</v>
      </c>
      <c r="L66" s="248"/>
      <c r="M66" s="249"/>
    </row>
    <row r="67" spans="1:13" ht="36">
      <c r="A67" s="231" t="s">
        <v>282</v>
      </c>
      <c r="B67" s="258" t="s">
        <v>327</v>
      </c>
      <c r="C67" s="276" t="s">
        <v>1</v>
      </c>
      <c r="D67" s="277">
        <v>1</v>
      </c>
      <c r="E67" s="253"/>
      <c r="F67" s="253"/>
      <c r="G67" s="253"/>
      <c r="H67" s="253"/>
      <c r="I67" s="278"/>
      <c r="J67" s="279"/>
      <c r="K67" s="280">
        <v>0</v>
      </c>
      <c r="L67" s="248"/>
      <c r="M67" s="249"/>
    </row>
    <row r="68" spans="1:13" ht="18">
      <c r="A68" s="231" t="s">
        <v>328</v>
      </c>
      <c r="B68" s="258" t="s">
        <v>329</v>
      </c>
      <c r="C68" s="276" t="s">
        <v>1</v>
      </c>
      <c r="D68" s="277">
        <v>0</v>
      </c>
      <c r="E68" s="253"/>
      <c r="F68" s="253"/>
      <c r="G68" s="253"/>
      <c r="H68" s="253"/>
      <c r="I68" s="278"/>
      <c r="J68" s="279"/>
      <c r="K68" s="280">
        <f t="shared" si="4"/>
        <v>0</v>
      </c>
      <c r="L68" s="248"/>
      <c r="M68" s="249"/>
    </row>
    <row r="69" spans="1:13" ht="18">
      <c r="A69" s="231" t="s">
        <v>330</v>
      </c>
      <c r="B69" s="258" t="s">
        <v>331</v>
      </c>
      <c r="C69" s="276" t="s">
        <v>1</v>
      </c>
      <c r="D69" s="277">
        <v>0</v>
      </c>
      <c r="E69" s="253"/>
      <c r="F69" s="253"/>
      <c r="G69" s="253"/>
      <c r="H69" s="253"/>
      <c r="I69" s="278"/>
      <c r="J69" s="279"/>
      <c r="K69" s="280">
        <f t="shared" si="4"/>
        <v>0</v>
      </c>
      <c r="L69" s="248"/>
      <c r="M69" s="249"/>
    </row>
    <row r="70" spans="1:13" ht="18">
      <c r="A70" s="231"/>
      <c r="B70" s="281" t="s">
        <v>332</v>
      </c>
      <c r="C70" s="282" t="s">
        <v>250</v>
      </c>
      <c r="D70" s="283">
        <v>1</v>
      </c>
      <c r="E70" s="243"/>
      <c r="F70" s="284"/>
      <c r="G70" s="285"/>
      <c r="H70" s="285"/>
      <c r="I70" s="286"/>
      <c r="J70" s="287"/>
      <c r="K70" s="288">
        <f>D70*I70*E70</f>
        <v>0</v>
      </c>
      <c r="L70" s="289"/>
      <c r="M70" s="290"/>
    </row>
    <row r="71" spans="1:13">
      <c r="A71" s="291"/>
      <c r="M71" s="292"/>
    </row>
    <row r="72" spans="1:13" ht="19.5" thickBot="1">
      <c r="A72" s="293"/>
      <c r="B72" s="303" t="s">
        <v>333</v>
      </c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294">
        <f>M11</f>
        <v>307260</v>
      </c>
    </row>
    <row r="73" spans="1:13" ht="18">
      <c r="B73" s="295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6"/>
    </row>
  </sheetData>
  <autoFilter ref="A6:A73" xr:uid="{00000000-0009-0000-0000-000000000000}"/>
  <mergeCells count="3">
    <mergeCell ref="A6:B6"/>
    <mergeCell ref="A8:B8"/>
    <mergeCell ref="B72:L72"/>
  </mergeCells>
  <printOptions horizontalCentered="1"/>
  <pageMargins left="0.78740157480314965" right="0.78740157480314965" top="0.19685039370078741" bottom="0.39370078740157483" header="0.19685039370078741" footer="0.19685039370078741"/>
  <pageSetup paperSize="9" firstPageNumber="4294967295" fitToHeight="5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13D5-F8F3-4160-A0DA-1AC3EC85F226}">
  <sheetPr>
    <pageSetUpPr fitToPage="1"/>
  </sheetPr>
  <dimension ref="A1:S35"/>
  <sheetViews>
    <sheetView zoomScale="70" zoomScaleNormal="70" workbookViewId="0">
      <selection activeCell="D20" sqref="D20"/>
    </sheetView>
  </sheetViews>
  <sheetFormatPr defaultColWidth="11.7109375" defaultRowHeight="14.25"/>
  <cols>
    <col min="1" max="1" width="9.5703125" style="50" customWidth="1"/>
    <col min="2" max="2" width="47.7109375" style="42" customWidth="1"/>
    <col min="3" max="3" width="15.85546875" style="42" customWidth="1"/>
    <col min="4" max="4" width="15.140625" style="42" customWidth="1"/>
    <col min="5" max="5" width="15.42578125" style="165" customWidth="1"/>
    <col min="6" max="6" width="13.42578125" style="165" customWidth="1"/>
    <col min="7" max="7" width="16.28515625" style="165" customWidth="1"/>
    <col min="8" max="8" width="14.85546875" style="165" customWidth="1"/>
    <col min="9" max="9" width="22" style="42" customWidth="1"/>
    <col min="10" max="10" width="20.7109375" style="42" hidden="1" customWidth="1"/>
    <col min="11" max="11" width="20.85546875" style="42" customWidth="1"/>
    <col min="12" max="12" width="21.28515625" style="42" customWidth="1"/>
    <col min="13" max="13" width="22.5703125" style="42" customWidth="1"/>
    <col min="14" max="14" width="17.28515625" style="109" customWidth="1"/>
    <col min="15" max="15" width="16.5703125" style="42" customWidth="1"/>
    <col min="16" max="16" width="17.7109375" style="42" customWidth="1"/>
    <col min="17" max="17" width="19" style="42" customWidth="1"/>
    <col min="18" max="16384" width="11.7109375" style="42"/>
  </cols>
  <sheetData>
    <row r="1" spans="1:19" ht="24" thickBot="1">
      <c r="B1" s="304" t="s">
        <v>98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9" ht="37.5" thickTop="1" thickBot="1">
      <c r="A2" s="29" t="s">
        <v>3</v>
      </c>
      <c r="B2" s="24" t="s">
        <v>4</v>
      </c>
      <c r="C2" s="33" t="s">
        <v>5</v>
      </c>
      <c r="D2" s="34" t="s">
        <v>6</v>
      </c>
      <c r="E2" s="174" t="s">
        <v>39</v>
      </c>
      <c r="F2" s="156" t="s">
        <v>14</v>
      </c>
      <c r="G2" s="166" t="s">
        <v>13</v>
      </c>
      <c r="H2" s="156" t="s">
        <v>15</v>
      </c>
      <c r="I2" s="43" t="s">
        <v>7</v>
      </c>
      <c r="J2" s="1"/>
      <c r="K2" s="25"/>
      <c r="L2" s="26"/>
      <c r="M2" s="27">
        <f>M3</f>
        <v>41297</v>
      </c>
      <c r="N2" s="28"/>
    </row>
    <row r="3" spans="1:19" s="55" customFormat="1" ht="19.5" thickTop="1" thickBot="1">
      <c r="A3" s="23"/>
      <c r="B3" s="51" t="s">
        <v>22</v>
      </c>
      <c r="C3" s="52"/>
      <c r="D3" s="53"/>
      <c r="E3" s="175"/>
      <c r="F3" s="157"/>
      <c r="G3" s="167"/>
      <c r="H3" s="167"/>
      <c r="I3" s="44"/>
      <c r="J3" s="30"/>
      <c r="K3" s="31"/>
      <c r="L3" s="31"/>
      <c r="M3" s="54">
        <f>SUM(M4:M17)</f>
        <v>41297</v>
      </c>
      <c r="N3" s="32"/>
    </row>
    <row r="4" spans="1:19" s="60" customFormat="1" ht="18">
      <c r="A4" s="11"/>
      <c r="B4" s="56" t="s">
        <v>171</v>
      </c>
      <c r="C4" s="57"/>
      <c r="D4" s="58"/>
      <c r="E4" s="176"/>
      <c r="F4" s="158"/>
      <c r="G4" s="168"/>
      <c r="H4" s="168"/>
      <c r="I4" s="45"/>
      <c r="J4" s="21"/>
      <c r="K4" s="22"/>
      <c r="L4" s="12"/>
      <c r="M4" s="59">
        <f>SUM(L5:L17)</f>
        <v>41297</v>
      </c>
      <c r="N4" s="13"/>
    </row>
    <row r="5" spans="1:19" s="65" customFormat="1" ht="18">
      <c r="A5" s="15"/>
      <c r="B5" s="61" t="s">
        <v>172</v>
      </c>
      <c r="C5" s="62"/>
      <c r="D5" s="63"/>
      <c r="E5" s="177"/>
      <c r="F5" s="159"/>
      <c r="G5" s="169"/>
      <c r="H5" s="169"/>
      <c r="I5" s="46"/>
      <c r="J5" s="16"/>
      <c r="K5" s="17"/>
      <c r="L5" s="17">
        <f>SUM(K6:K17)</f>
        <v>41297</v>
      </c>
      <c r="M5" s="64"/>
      <c r="N5" s="18"/>
    </row>
    <row r="6" spans="1:19" ht="18.75">
      <c r="A6" s="10"/>
      <c r="B6" s="66" t="s">
        <v>173</v>
      </c>
      <c r="C6" s="67" t="s">
        <v>1</v>
      </c>
      <c r="D6" s="68">
        <v>2</v>
      </c>
      <c r="E6" s="69">
        <v>1</v>
      </c>
      <c r="F6" s="124">
        <v>1650</v>
      </c>
      <c r="G6" s="70"/>
      <c r="H6" s="125"/>
      <c r="I6" s="117">
        <f>SUM(F6:H6)*E6</f>
        <v>1650</v>
      </c>
      <c r="J6" s="48"/>
      <c r="K6" s="47">
        <f>D6*I6</f>
        <v>3300</v>
      </c>
      <c r="L6" s="47"/>
      <c r="M6" s="71"/>
      <c r="N6" s="72"/>
    </row>
    <row r="7" spans="1:19" ht="18.75">
      <c r="A7" s="186">
        <v>1</v>
      </c>
      <c r="B7" s="85" t="s">
        <v>174</v>
      </c>
      <c r="C7" s="74" t="s">
        <v>1</v>
      </c>
      <c r="D7" s="155">
        <v>1</v>
      </c>
      <c r="E7" s="69">
        <v>1</v>
      </c>
      <c r="F7" s="40">
        <v>9200</v>
      </c>
      <c r="G7" s="70"/>
      <c r="H7" s="70"/>
      <c r="I7" s="117">
        <f t="shared" ref="I7" si="0">SUM(F7:H7)*E7</f>
        <v>9200</v>
      </c>
      <c r="J7" s="48"/>
      <c r="K7" s="47">
        <f t="shared" ref="K7:K16" si="1">D7*I7</f>
        <v>9200</v>
      </c>
      <c r="L7" s="47"/>
      <c r="M7" s="119"/>
      <c r="N7" s="86"/>
    </row>
    <row r="8" spans="1:19" ht="18.75">
      <c r="A8" s="186">
        <v>1</v>
      </c>
      <c r="B8" s="85" t="s">
        <v>175</v>
      </c>
      <c r="C8" s="74" t="s">
        <v>1</v>
      </c>
      <c r="D8" s="155">
        <v>1</v>
      </c>
      <c r="E8" s="69">
        <v>9</v>
      </c>
      <c r="F8" s="40">
        <v>603</v>
      </c>
      <c r="G8" s="70"/>
      <c r="H8" s="70"/>
      <c r="I8" s="117">
        <f t="shared" ref="I8:I10" si="2">SUM(F8:H8)*E8</f>
        <v>5427</v>
      </c>
      <c r="J8" s="48"/>
      <c r="K8" s="47">
        <f t="shared" si="1"/>
        <v>5427</v>
      </c>
      <c r="L8" s="47"/>
      <c r="M8" s="119"/>
      <c r="N8" s="86"/>
    </row>
    <row r="9" spans="1:19" ht="18.75">
      <c r="A9" s="186">
        <v>1</v>
      </c>
      <c r="B9" s="85" t="s">
        <v>176</v>
      </c>
      <c r="C9" s="74" t="s">
        <v>1</v>
      </c>
      <c r="D9" s="155">
        <v>1</v>
      </c>
      <c r="E9" s="69">
        <v>9</v>
      </c>
      <c r="F9" s="40">
        <v>720</v>
      </c>
      <c r="G9" s="70"/>
      <c r="H9" s="70"/>
      <c r="I9" s="117">
        <f t="shared" si="2"/>
        <v>6480</v>
      </c>
      <c r="J9" s="48"/>
      <c r="K9" s="47">
        <f t="shared" si="1"/>
        <v>6480</v>
      </c>
      <c r="L9" s="47"/>
      <c r="M9" s="119"/>
      <c r="N9" s="86"/>
    </row>
    <row r="10" spans="1:19" ht="18.75">
      <c r="A10" s="186">
        <v>1</v>
      </c>
      <c r="B10" s="85" t="s">
        <v>177</v>
      </c>
      <c r="C10" s="74" t="s">
        <v>1</v>
      </c>
      <c r="D10" s="155">
        <v>1</v>
      </c>
      <c r="E10" s="69">
        <v>9</v>
      </c>
      <c r="F10" s="40">
        <v>410</v>
      </c>
      <c r="G10" s="70"/>
      <c r="H10" s="70"/>
      <c r="I10" s="117">
        <f t="shared" si="2"/>
        <v>3690</v>
      </c>
      <c r="J10" s="48"/>
      <c r="K10" s="47">
        <f t="shared" si="1"/>
        <v>3690</v>
      </c>
      <c r="L10" s="47"/>
      <c r="M10" s="119"/>
      <c r="N10" s="86"/>
    </row>
    <row r="11" spans="1:19" ht="18.75">
      <c r="A11" s="186">
        <v>1</v>
      </c>
      <c r="B11" s="85" t="s">
        <v>178</v>
      </c>
      <c r="C11" s="74" t="s">
        <v>74</v>
      </c>
      <c r="D11" s="155">
        <v>8</v>
      </c>
      <c r="E11" s="69">
        <v>1</v>
      </c>
      <c r="F11" s="40">
        <v>150</v>
      </c>
      <c r="G11" s="70"/>
      <c r="H11" s="70"/>
      <c r="I11" s="117">
        <f t="shared" ref="I11:I12" si="3">SUM(F11:H11)*E11</f>
        <v>150</v>
      </c>
      <c r="J11" s="48"/>
      <c r="K11" s="47">
        <f t="shared" si="1"/>
        <v>1200</v>
      </c>
      <c r="L11" s="47"/>
      <c r="M11" s="119"/>
      <c r="N11" s="86"/>
      <c r="P11" s="111">
        <f>K11</f>
        <v>1200</v>
      </c>
      <c r="R11" s="121">
        <f>D11+D12+D13</f>
        <v>10</v>
      </c>
    </row>
    <row r="12" spans="1:19" ht="18.75">
      <c r="A12" s="186">
        <v>1</v>
      </c>
      <c r="B12" s="85" t="s">
        <v>179</v>
      </c>
      <c r="C12" s="74" t="s">
        <v>74</v>
      </c>
      <c r="D12" s="155">
        <v>1</v>
      </c>
      <c r="E12" s="69">
        <v>9</v>
      </c>
      <c r="F12" s="40">
        <v>250</v>
      </c>
      <c r="G12" s="70"/>
      <c r="H12" s="70"/>
      <c r="I12" s="117">
        <f t="shared" si="3"/>
        <v>2250</v>
      </c>
      <c r="J12" s="48"/>
      <c r="K12" s="47">
        <f t="shared" si="1"/>
        <v>2250</v>
      </c>
      <c r="L12" s="47"/>
      <c r="M12" s="119"/>
      <c r="N12" s="86"/>
      <c r="R12" s="42">
        <f>R11/D11</f>
        <v>1.25</v>
      </c>
      <c r="S12" s="42">
        <f>62000*R12</f>
        <v>77500</v>
      </c>
    </row>
    <row r="13" spans="1:19" ht="18.75">
      <c r="A13" s="10"/>
      <c r="B13" s="73" t="s">
        <v>180</v>
      </c>
      <c r="C13" s="152" t="s">
        <v>1</v>
      </c>
      <c r="D13" s="153">
        <v>1</v>
      </c>
      <c r="E13" s="69">
        <v>9</v>
      </c>
      <c r="F13" s="124">
        <v>100</v>
      </c>
      <c r="G13" s="125"/>
      <c r="H13" s="125"/>
      <c r="I13" s="117">
        <f>SUM(F13:H13)*E13</f>
        <v>900</v>
      </c>
      <c r="J13" s="48"/>
      <c r="K13" s="47">
        <f t="shared" si="1"/>
        <v>900</v>
      </c>
      <c r="L13" s="154"/>
      <c r="M13" s="49"/>
      <c r="N13" s="72"/>
    </row>
    <row r="14" spans="1:19" ht="18.75">
      <c r="A14" s="186">
        <v>1</v>
      </c>
      <c r="B14" s="85" t="s">
        <v>181</v>
      </c>
      <c r="C14" s="74" t="s">
        <v>74</v>
      </c>
      <c r="D14" s="155">
        <v>1</v>
      </c>
      <c r="E14" s="69">
        <v>9</v>
      </c>
      <c r="F14" s="40">
        <v>150</v>
      </c>
      <c r="G14" s="70"/>
      <c r="H14" s="70"/>
      <c r="I14" s="117">
        <f t="shared" ref="I14:I15" si="4">SUM(F14:H14)*E14</f>
        <v>1350</v>
      </c>
      <c r="J14" s="48"/>
      <c r="K14" s="47">
        <f t="shared" si="1"/>
        <v>1350</v>
      </c>
      <c r="L14" s="47"/>
      <c r="M14" s="119"/>
      <c r="N14" s="86"/>
      <c r="P14" s="111">
        <f>K14</f>
        <v>1350</v>
      </c>
      <c r="R14" s="121">
        <f>D14+D15+D16</f>
        <v>3</v>
      </c>
    </row>
    <row r="15" spans="1:19" ht="18.75">
      <c r="A15" s="186">
        <v>1</v>
      </c>
      <c r="B15" s="85" t="s">
        <v>182</v>
      </c>
      <c r="C15" s="74" t="s">
        <v>1</v>
      </c>
      <c r="D15" s="155">
        <v>1</v>
      </c>
      <c r="E15" s="69">
        <v>1</v>
      </c>
      <c r="F15" s="40">
        <v>5000</v>
      </c>
      <c r="G15" s="70"/>
      <c r="H15" s="70"/>
      <c r="I15" s="117">
        <f t="shared" si="4"/>
        <v>5000</v>
      </c>
      <c r="J15" s="48"/>
      <c r="K15" s="47">
        <f t="shared" si="1"/>
        <v>5000</v>
      </c>
      <c r="L15" s="47"/>
      <c r="M15" s="119"/>
      <c r="N15" s="86"/>
      <c r="R15" s="42">
        <f>R14/D14</f>
        <v>3</v>
      </c>
      <c r="S15" s="42">
        <f>62000*R15</f>
        <v>186000</v>
      </c>
    </row>
    <row r="16" spans="1:19" ht="18.75">
      <c r="A16" s="10"/>
      <c r="B16" s="73" t="s">
        <v>183</v>
      </c>
      <c r="C16" s="152" t="s">
        <v>1</v>
      </c>
      <c r="D16" s="153">
        <v>1</v>
      </c>
      <c r="E16" s="69">
        <v>1</v>
      </c>
      <c r="F16" s="124">
        <v>2500</v>
      </c>
      <c r="G16" s="125"/>
      <c r="H16" s="125"/>
      <c r="I16" s="117">
        <f>SUM(F16:H16)*E16</f>
        <v>2500</v>
      </c>
      <c r="J16" s="48"/>
      <c r="K16" s="47">
        <f t="shared" si="1"/>
        <v>2500</v>
      </c>
      <c r="L16" s="154"/>
      <c r="M16" s="49"/>
      <c r="N16" s="72"/>
    </row>
    <row r="17" spans="1:14" ht="19.5" thickBot="1">
      <c r="A17" s="10"/>
      <c r="B17" s="73"/>
      <c r="C17" s="152"/>
      <c r="D17" s="153"/>
      <c r="E17" s="69"/>
      <c r="F17" s="124"/>
      <c r="G17" s="125"/>
      <c r="H17" s="125"/>
      <c r="I17" s="117"/>
      <c r="J17" s="48"/>
      <c r="K17" s="47"/>
      <c r="L17" s="154"/>
      <c r="M17" s="49"/>
      <c r="N17" s="72"/>
    </row>
    <row r="18" spans="1:14" ht="19.5" thickBot="1">
      <c r="A18" s="36"/>
      <c r="B18" s="19" t="s">
        <v>8</v>
      </c>
      <c r="C18" s="93"/>
      <c r="D18" s="93"/>
      <c r="E18" s="162"/>
      <c r="F18" s="162"/>
      <c r="G18" s="162"/>
      <c r="H18" s="162"/>
      <c r="I18" s="93"/>
      <c r="J18" s="94"/>
      <c r="K18" s="93"/>
      <c r="L18" s="95"/>
      <c r="M18" s="96">
        <f>M19</f>
        <v>41297</v>
      </c>
      <c r="N18" s="93"/>
    </row>
    <row r="19" spans="1:14" ht="18.75" thickBot="1">
      <c r="A19" s="20"/>
      <c r="B19" s="306" t="s">
        <v>9</v>
      </c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97">
        <f>SUM(M4:M17)</f>
        <v>41297</v>
      </c>
      <c r="N19" s="93"/>
    </row>
    <row r="20" spans="1:14" ht="20.25" thickTop="1" thickBot="1">
      <c r="A20" s="5"/>
      <c r="B20" s="4"/>
      <c r="C20" s="98"/>
      <c r="D20" s="98"/>
      <c r="E20" s="163"/>
      <c r="F20" s="163"/>
      <c r="G20" s="163"/>
      <c r="H20" s="163"/>
      <c r="I20" s="98"/>
      <c r="J20" s="98"/>
      <c r="K20" s="98"/>
      <c r="L20" s="37" t="s">
        <v>10</v>
      </c>
      <c r="M20" s="38">
        <f>M18</f>
        <v>41297</v>
      </c>
      <c r="N20" s="99"/>
    </row>
    <row r="21" spans="1:14" ht="20.25" thickTop="1" thickBot="1">
      <c r="A21" s="5"/>
      <c r="B21" s="4"/>
      <c r="C21" s="98"/>
      <c r="D21" s="98"/>
      <c r="E21" s="163"/>
      <c r="F21" s="163"/>
      <c r="G21" s="163"/>
      <c r="H21" s="163"/>
      <c r="I21" s="98"/>
      <c r="J21" s="98"/>
      <c r="K21" s="98"/>
      <c r="L21" s="100" t="s">
        <v>11</v>
      </c>
      <c r="M21" s="101">
        <f>M20*0</f>
        <v>0</v>
      </c>
      <c r="N21" s="102"/>
    </row>
    <row r="22" spans="1:14" ht="20.25" thickTop="1" thickBot="1">
      <c r="A22" s="5"/>
      <c r="B22" s="4"/>
      <c r="C22" s="98"/>
      <c r="D22" s="98"/>
      <c r="E22" s="163"/>
      <c r="F22" s="163"/>
      <c r="G22" s="163"/>
      <c r="H22" s="163"/>
      <c r="I22" s="98"/>
      <c r="J22" s="98"/>
      <c r="K22" s="98"/>
      <c r="L22" s="37" t="s">
        <v>12</v>
      </c>
      <c r="M22" s="38">
        <f>M20+M21</f>
        <v>41297</v>
      </c>
      <c r="N22" s="99"/>
    </row>
    <row r="23" spans="1:14" ht="18.75" thickTop="1">
      <c r="B23" s="2"/>
      <c r="C23" s="103"/>
      <c r="D23" s="103"/>
      <c r="E23" s="164"/>
      <c r="F23" s="164"/>
      <c r="G23" s="164"/>
      <c r="H23" s="164"/>
      <c r="I23" s="103"/>
      <c r="J23" s="103"/>
      <c r="K23" s="103"/>
      <c r="L23" s="103"/>
      <c r="M23" s="103"/>
      <c r="N23" s="104"/>
    </row>
    <row r="24" spans="1:14" ht="18">
      <c r="B24" s="2"/>
      <c r="C24" s="103"/>
      <c r="D24" s="103"/>
      <c r="E24" s="164"/>
      <c r="F24" s="164"/>
      <c r="G24" s="164"/>
      <c r="H24" s="164"/>
      <c r="I24" s="103"/>
      <c r="J24" s="103"/>
      <c r="K24" s="103"/>
      <c r="L24" s="103"/>
      <c r="M24" s="105"/>
      <c r="N24" s="104"/>
    </row>
    <row r="25" spans="1:14" ht="18">
      <c r="B25" s="2"/>
      <c r="C25" s="103"/>
      <c r="D25" s="103"/>
      <c r="E25" s="164"/>
      <c r="F25" s="164"/>
      <c r="G25" s="164"/>
      <c r="H25" s="164"/>
      <c r="I25" s="103"/>
      <c r="J25" s="103"/>
      <c r="K25" s="103"/>
      <c r="L25" s="103"/>
      <c r="M25" s="105"/>
      <c r="N25" s="104"/>
    </row>
    <row r="26" spans="1:14" ht="18">
      <c r="B26" s="106"/>
      <c r="C26" s="107"/>
      <c r="D26" s="103"/>
      <c r="E26" s="164"/>
      <c r="F26" s="164"/>
      <c r="G26" s="164"/>
      <c r="H26" s="164"/>
      <c r="I26" s="103"/>
      <c r="J26" s="103"/>
      <c r="K26" s="103"/>
      <c r="N26" s="104"/>
    </row>
    <row r="27" spans="1:14" ht="18">
      <c r="E27" s="180"/>
      <c r="M27" s="108"/>
    </row>
    <row r="28" spans="1:14" ht="18">
      <c r="E28" s="180"/>
      <c r="M28" s="110"/>
    </row>
    <row r="29" spans="1:14" ht="15">
      <c r="L29" s="111"/>
      <c r="M29" s="112"/>
    </row>
    <row r="30" spans="1:14" ht="18">
      <c r="B30" s="113" t="s">
        <v>26</v>
      </c>
      <c r="C30" s="114">
        <v>305</v>
      </c>
      <c r="D30" s="115" t="s">
        <v>0</v>
      </c>
      <c r="E30" s="180"/>
    </row>
    <row r="31" spans="1:14" ht="18">
      <c r="A31" s="42"/>
      <c r="B31" s="113" t="s">
        <v>24</v>
      </c>
      <c r="C31" s="116">
        <f>M22/C30</f>
        <v>135.4</v>
      </c>
      <c r="D31" s="115" t="s">
        <v>25</v>
      </c>
      <c r="E31" s="180"/>
      <c r="F31" s="42"/>
      <c r="G31" s="42"/>
      <c r="H31" s="42"/>
      <c r="N31" s="42"/>
    </row>
    <row r="32" spans="1:14" ht="18">
      <c r="A32" s="42"/>
      <c r="B32" s="106"/>
      <c r="C32" s="106"/>
      <c r="D32" s="106"/>
      <c r="E32" s="180"/>
      <c r="F32" s="42"/>
      <c r="G32" s="42"/>
      <c r="H32" s="42"/>
      <c r="N32" s="42"/>
    </row>
    <row r="33" spans="1:14" ht="18">
      <c r="A33" s="42"/>
      <c r="B33" s="106"/>
      <c r="C33" s="106"/>
      <c r="D33" s="106"/>
      <c r="E33" s="180"/>
      <c r="F33" s="42"/>
      <c r="G33" s="42"/>
      <c r="H33" s="42"/>
      <c r="N33" s="42"/>
    </row>
    <row r="34" spans="1:14" ht="18">
      <c r="A34" s="42"/>
      <c r="B34" s="106"/>
      <c r="C34" s="106"/>
      <c r="D34" s="106"/>
      <c r="E34" s="180"/>
      <c r="F34" s="42"/>
      <c r="G34" s="42"/>
      <c r="H34" s="42"/>
      <c r="N34" s="42"/>
    </row>
    <row r="35" spans="1:14" ht="18">
      <c r="A35" s="42"/>
      <c r="B35" s="106"/>
      <c r="C35" s="106"/>
      <c r="D35" s="106"/>
      <c r="E35" s="180"/>
      <c r="F35" s="42"/>
      <c r="G35" s="42"/>
      <c r="H35" s="42"/>
      <c r="N35" s="42"/>
    </row>
  </sheetData>
  <mergeCells count="2">
    <mergeCell ref="B1:N1"/>
    <mergeCell ref="B19:L19"/>
  </mergeCells>
  <pageMargins left="0.7" right="0.7" top="0.75" bottom="0.75" header="0.3" footer="0.3"/>
  <pageSetup paperSize="8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E335E-1DA3-4C36-8ABB-8848613FB8E5}">
  <sheetPr>
    <pageSetUpPr fitToPage="1"/>
  </sheetPr>
  <dimension ref="A1:N159"/>
  <sheetViews>
    <sheetView topLeftCell="A61" zoomScale="70" zoomScaleNormal="70" workbookViewId="0">
      <selection activeCell="F65" sqref="F65"/>
    </sheetView>
  </sheetViews>
  <sheetFormatPr defaultColWidth="11.7109375" defaultRowHeight="14.25"/>
  <cols>
    <col min="1" max="1" width="9.5703125" style="50" customWidth="1"/>
    <col min="2" max="2" width="47.7109375" style="42" customWidth="1"/>
    <col min="3" max="3" width="15.85546875" style="42" customWidth="1"/>
    <col min="4" max="4" width="15.140625" style="42" customWidth="1"/>
    <col min="5" max="5" width="15.42578125" style="165" customWidth="1"/>
    <col min="6" max="6" width="13.42578125" style="165" customWidth="1"/>
    <col min="7" max="7" width="16.28515625" style="165" customWidth="1"/>
    <col min="8" max="8" width="14.85546875" style="165" customWidth="1"/>
    <col min="9" max="9" width="22" style="42" customWidth="1"/>
    <col min="10" max="10" width="20.7109375" style="42" hidden="1" customWidth="1"/>
    <col min="11" max="11" width="20.85546875" style="42" customWidth="1"/>
    <col min="12" max="12" width="21.28515625" style="42" customWidth="1"/>
    <col min="13" max="13" width="22.5703125" style="42" customWidth="1"/>
    <col min="14" max="14" width="17.28515625" style="109" customWidth="1"/>
    <col min="15" max="15" width="16.5703125" style="42" customWidth="1"/>
    <col min="16" max="16" width="17.7109375" style="42" customWidth="1"/>
    <col min="17" max="17" width="19" style="42" customWidth="1"/>
    <col min="18" max="16384" width="11.7109375" style="42"/>
  </cols>
  <sheetData>
    <row r="1" spans="1:14" ht="24" thickBot="1">
      <c r="B1" s="304" t="s">
        <v>98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37.5" thickTop="1" thickBot="1">
      <c r="A2" s="29" t="s">
        <v>3</v>
      </c>
      <c r="B2" s="24" t="s">
        <v>4</v>
      </c>
      <c r="C2" s="33" t="s">
        <v>5</v>
      </c>
      <c r="D2" s="34" t="s">
        <v>6</v>
      </c>
      <c r="E2" s="174" t="s">
        <v>39</v>
      </c>
      <c r="F2" s="156" t="s">
        <v>14</v>
      </c>
      <c r="G2" s="166" t="s">
        <v>13</v>
      </c>
      <c r="H2" s="156" t="s">
        <v>15</v>
      </c>
      <c r="I2" s="43" t="s">
        <v>7</v>
      </c>
      <c r="J2" s="1"/>
      <c r="K2" s="25"/>
      <c r="L2" s="26"/>
      <c r="M2" s="27">
        <f>M3</f>
        <v>6402342</v>
      </c>
      <c r="N2" s="28"/>
    </row>
    <row r="3" spans="1:14" s="55" customFormat="1" ht="19.5" thickTop="1" thickBot="1">
      <c r="A3" s="23"/>
      <c r="B3" s="51" t="s">
        <v>22</v>
      </c>
      <c r="C3" s="52"/>
      <c r="D3" s="53"/>
      <c r="E3" s="175"/>
      <c r="F3" s="157"/>
      <c r="G3" s="167"/>
      <c r="H3" s="167"/>
      <c r="I3" s="44"/>
      <c r="J3" s="30"/>
      <c r="K3" s="31"/>
      <c r="L3" s="31"/>
      <c r="M3" s="54">
        <f>SUM(M4:M141)</f>
        <v>6402342</v>
      </c>
      <c r="N3" s="32"/>
    </row>
    <row r="4" spans="1:14" s="60" customFormat="1" ht="18">
      <c r="A4" s="11"/>
      <c r="B4" s="56" t="s">
        <v>234</v>
      </c>
      <c r="C4" s="57"/>
      <c r="D4" s="58"/>
      <c r="E4" s="176"/>
      <c r="F4" s="158"/>
      <c r="G4" s="168"/>
      <c r="H4" s="168"/>
      <c r="I4" s="45"/>
      <c r="J4" s="21"/>
      <c r="K4" s="22"/>
      <c r="L4" s="12"/>
      <c r="M4" s="59">
        <f>SUM(L6:L69)</f>
        <v>1147000</v>
      </c>
      <c r="N4" s="13"/>
    </row>
    <row r="5" spans="1:14" ht="18.75">
      <c r="A5" s="10"/>
      <c r="B5" s="73"/>
      <c r="C5" s="74"/>
      <c r="D5" s="41"/>
      <c r="E5" s="123"/>
      <c r="F5" s="124"/>
      <c r="G5" s="125"/>
      <c r="H5" s="125"/>
      <c r="I5" s="117"/>
      <c r="J5" s="48"/>
      <c r="K5" s="47"/>
      <c r="L5" s="47"/>
      <c r="M5" s="49"/>
      <c r="N5" s="86"/>
    </row>
    <row r="6" spans="1:14" s="209" customFormat="1" ht="18.75">
      <c r="A6" s="198"/>
      <c r="B6" s="191" t="s">
        <v>208</v>
      </c>
      <c r="C6" s="199"/>
      <c r="D6" s="200"/>
      <c r="E6" s="201"/>
      <c r="F6" s="202"/>
      <c r="G6" s="203"/>
      <c r="H6" s="203"/>
      <c r="I6" s="204"/>
      <c r="J6" s="205"/>
      <c r="K6" s="206"/>
      <c r="L6" s="206">
        <f>SUM(K7:K8)</f>
        <v>2000</v>
      </c>
      <c r="M6" s="207"/>
      <c r="N6" s="208"/>
    </row>
    <row r="7" spans="1:14" ht="18.75">
      <c r="A7" s="10"/>
      <c r="B7" s="73" t="s">
        <v>230</v>
      </c>
      <c r="C7" s="74" t="s">
        <v>1</v>
      </c>
      <c r="D7" s="41">
        <v>0</v>
      </c>
      <c r="E7" s="123">
        <v>1</v>
      </c>
      <c r="F7" s="124"/>
      <c r="G7" s="125"/>
      <c r="H7" s="125"/>
      <c r="I7" s="117">
        <f t="shared" ref="I7:I8" si="0">SUM(F7:H7)*E7</f>
        <v>0</v>
      </c>
      <c r="J7" s="48"/>
      <c r="K7" s="47">
        <f t="shared" ref="K7:K8" si="1">D7*I7</f>
        <v>0</v>
      </c>
      <c r="L7" s="47"/>
      <c r="M7" s="49"/>
      <c r="N7" s="86"/>
    </row>
    <row r="8" spans="1:14" ht="18.75">
      <c r="A8" s="10"/>
      <c r="B8" s="73" t="s">
        <v>231</v>
      </c>
      <c r="C8" s="74" t="s">
        <v>1</v>
      </c>
      <c r="D8" s="41">
        <v>1</v>
      </c>
      <c r="E8" s="123">
        <v>1</v>
      </c>
      <c r="F8" s="124">
        <v>2000</v>
      </c>
      <c r="G8" s="125"/>
      <c r="H8" s="125"/>
      <c r="I8" s="117">
        <f t="shared" si="0"/>
        <v>2000</v>
      </c>
      <c r="J8" s="48"/>
      <c r="K8" s="47">
        <f t="shared" si="1"/>
        <v>2000</v>
      </c>
      <c r="L8" s="47"/>
      <c r="M8" s="49"/>
      <c r="N8" s="86"/>
    </row>
    <row r="9" spans="1:14" s="209" customFormat="1" ht="18.75">
      <c r="A9" s="198"/>
      <c r="B9" s="191" t="s">
        <v>211</v>
      </c>
      <c r="C9" s="199"/>
      <c r="D9" s="200"/>
      <c r="E9" s="201"/>
      <c r="F9" s="202"/>
      <c r="G9" s="203"/>
      <c r="H9" s="203"/>
      <c r="I9" s="204"/>
      <c r="J9" s="205"/>
      <c r="K9" s="206"/>
      <c r="L9" s="206">
        <f>SUM(K10:K11)</f>
        <v>10000</v>
      </c>
      <c r="M9" s="207"/>
      <c r="N9" s="208"/>
    </row>
    <row r="10" spans="1:14" ht="18.75">
      <c r="A10" s="10"/>
      <c r="B10" s="73" t="s">
        <v>230</v>
      </c>
      <c r="C10" s="74" t="s">
        <v>1</v>
      </c>
      <c r="D10" s="41">
        <v>1</v>
      </c>
      <c r="E10" s="123">
        <v>1</v>
      </c>
      <c r="F10" s="124">
        <v>10000</v>
      </c>
      <c r="G10" s="125"/>
      <c r="H10" s="125"/>
      <c r="I10" s="117">
        <f t="shared" ref="I10:I11" si="2">SUM(F10:H10)*E10</f>
        <v>10000</v>
      </c>
      <c r="J10" s="48"/>
      <c r="K10" s="47">
        <f t="shared" ref="K10:K11" si="3">D10*I10</f>
        <v>10000</v>
      </c>
      <c r="L10" s="47"/>
      <c r="M10" s="49"/>
      <c r="N10" s="86"/>
    </row>
    <row r="11" spans="1:14" ht="18.75">
      <c r="A11" s="10"/>
      <c r="B11" s="73" t="s">
        <v>231</v>
      </c>
      <c r="C11" s="74" t="s">
        <v>1</v>
      </c>
      <c r="D11" s="41">
        <v>0</v>
      </c>
      <c r="E11" s="123">
        <v>1</v>
      </c>
      <c r="F11" s="124"/>
      <c r="G11" s="125"/>
      <c r="H11" s="125"/>
      <c r="I11" s="117">
        <f t="shared" si="2"/>
        <v>0</v>
      </c>
      <c r="J11" s="48"/>
      <c r="K11" s="47">
        <f t="shared" si="3"/>
        <v>0</v>
      </c>
      <c r="L11" s="47"/>
      <c r="M11" s="49"/>
      <c r="N11" s="86"/>
    </row>
    <row r="12" spans="1:14" s="209" customFormat="1" ht="18.75">
      <c r="A12" s="198"/>
      <c r="B12" s="191" t="s">
        <v>212</v>
      </c>
      <c r="C12" s="199"/>
      <c r="D12" s="200"/>
      <c r="E12" s="201"/>
      <c r="F12" s="202"/>
      <c r="G12" s="203"/>
      <c r="H12" s="203"/>
      <c r="I12" s="204"/>
      <c r="J12" s="205"/>
      <c r="K12" s="206"/>
      <c r="L12" s="206">
        <f>SUM(K13:K14)</f>
        <v>5000</v>
      </c>
      <c r="M12" s="207"/>
      <c r="N12" s="208"/>
    </row>
    <row r="13" spans="1:14" ht="18.75">
      <c r="A13" s="10"/>
      <c r="B13" s="73" t="s">
        <v>230</v>
      </c>
      <c r="C13" s="74" t="s">
        <v>1</v>
      </c>
      <c r="D13" s="41">
        <v>0</v>
      </c>
      <c r="E13" s="123">
        <v>1</v>
      </c>
      <c r="F13" s="124"/>
      <c r="G13" s="125"/>
      <c r="H13" s="125"/>
      <c r="I13" s="117">
        <f t="shared" ref="I13:I14" si="4">SUM(F13:H13)*E13</f>
        <v>0</v>
      </c>
      <c r="J13" s="48"/>
      <c r="K13" s="47">
        <f t="shared" ref="K13:K14" si="5">D13*I13</f>
        <v>0</v>
      </c>
      <c r="L13" s="47"/>
      <c r="M13" s="49"/>
      <c r="N13" s="86"/>
    </row>
    <row r="14" spans="1:14" ht="18.75">
      <c r="A14" s="10"/>
      <c r="B14" s="73" t="s">
        <v>231</v>
      </c>
      <c r="C14" s="74" t="s">
        <v>1</v>
      </c>
      <c r="D14" s="41">
        <v>1</v>
      </c>
      <c r="E14" s="123">
        <v>1</v>
      </c>
      <c r="F14" s="124">
        <v>5000</v>
      </c>
      <c r="G14" s="125"/>
      <c r="H14" s="125"/>
      <c r="I14" s="117">
        <f t="shared" si="4"/>
        <v>5000</v>
      </c>
      <c r="J14" s="48"/>
      <c r="K14" s="47">
        <f t="shared" si="5"/>
        <v>5000</v>
      </c>
      <c r="L14" s="47"/>
      <c r="M14" s="49"/>
      <c r="N14" s="86"/>
    </row>
    <row r="15" spans="1:14" s="209" customFormat="1" ht="18.75">
      <c r="A15" s="198"/>
      <c r="B15" s="191" t="s">
        <v>213</v>
      </c>
      <c r="C15" s="199"/>
      <c r="D15" s="200"/>
      <c r="E15" s="201"/>
      <c r="F15" s="202"/>
      <c r="G15" s="203"/>
      <c r="H15" s="203"/>
      <c r="I15" s="204"/>
      <c r="J15" s="205"/>
      <c r="K15" s="206"/>
      <c r="L15" s="206">
        <f>SUM(K16:K17)</f>
        <v>100000</v>
      </c>
      <c r="M15" s="207"/>
      <c r="N15" s="208"/>
    </row>
    <row r="16" spans="1:14" ht="18.75">
      <c r="A16" s="10"/>
      <c r="B16" s="73" t="s">
        <v>230</v>
      </c>
      <c r="C16" s="74" t="s">
        <v>1</v>
      </c>
      <c r="D16" s="41">
        <v>1</v>
      </c>
      <c r="E16" s="123">
        <v>1</v>
      </c>
      <c r="F16" s="124">
        <v>100000</v>
      </c>
      <c r="G16" s="125"/>
      <c r="H16" s="125"/>
      <c r="I16" s="117">
        <f t="shared" ref="I16:I17" si="6">SUM(F16:H16)*E16</f>
        <v>100000</v>
      </c>
      <c r="J16" s="48"/>
      <c r="K16" s="47">
        <f t="shared" ref="K16:K17" si="7">D16*I16</f>
        <v>100000</v>
      </c>
      <c r="L16" s="47"/>
      <c r="M16" s="49"/>
      <c r="N16" s="86"/>
    </row>
    <row r="17" spans="1:14" ht="18.75">
      <c r="A17" s="10"/>
      <c r="B17" s="73" t="s">
        <v>231</v>
      </c>
      <c r="C17" s="74" t="s">
        <v>1</v>
      </c>
      <c r="D17" s="41">
        <v>0</v>
      </c>
      <c r="E17" s="123">
        <v>1</v>
      </c>
      <c r="F17" s="124"/>
      <c r="G17" s="125"/>
      <c r="H17" s="125"/>
      <c r="I17" s="117">
        <f t="shared" si="6"/>
        <v>0</v>
      </c>
      <c r="J17" s="48"/>
      <c r="K17" s="47">
        <f t="shared" si="7"/>
        <v>0</v>
      </c>
      <c r="L17" s="47"/>
      <c r="M17" s="49"/>
      <c r="N17" s="86"/>
    </row>
    <row r="18" spans="1:14" s="209" customFormat="1" ht="18.75">
      <c r="A18" s="198"/>
      <c r="B18" s="191" t="s">
        <v>214</v>
      </c>
      <c r="C18" s="199"/>
      <c r="D18" s="200"/>
      <c r="E18" s="201"/>
      <c r="F18" s="202"/>
      <c r="G18" s="203"/>
      <c r="H18" s="203"/>
      <c r="I18" s="204"/>
      <c r="J18" s="205"/>
      <c r="K18" s="206"/>
      <c r="L18" s="206">
        <f>SUM(K19:K20)</f>
        <v>10000</v>
      </c>
      <c r="M18" s="207"/>
      <c r="N18" s="208"/>
    </row>
    <row r="19" spans="1:14" ht="18.75">
      <c r="A19" s="10"/>
      <c r="B19" s="73" t="s">
        <v>230</v>
      </c>
      <c r="C19" s="74" t="s">
        <v>1</v>
      </c>
      <c r="D19" s="41">
        <v>0</v>
      </c>
      <c r="E19" s="123">
        <v>1</v>
      </c>
      <c r="F19" s="124"/>
      <c r="G19" s="125"/>
      <c r="H19" s="125"/>
      <c r="I19" s="117">
        <f t="shared" ref="I19:I20" si="8">SUM(F19:H19)*E19</f>
        <v>0</v>
      </c>
      <c r="J19" s="48"/>
      <c r="K19" s="47">
        <f t="shared" ref="K19:K20" si="9">D19*I19</f>
        <v>0</v>
      </c>
      <c r="L19" s="47"/>
      <c r="M19" s="49"/>
      <c r="N19" s="86"/>
    </row>
    <row r="20" spans="1:14" ht="18.75">
      <c r="A20" s="10"/>
      <c r="B20" s="73" t="s">
        <v>231</v>
      </c>
      <c r="C20" s="74" t="s">
        <v>1</v>
      </c>
      <c r="D20" s="41">
        <v>1</v>
      </c>
      <c r="E20" s="123">
        <v>1</v>
      </c>
      <c r="F20" s="124">
        <v>10000</v>
      </c>
      <c r="G20" s="125"/>
      <c r="H20" s="125"/>
      <c r="I20" s="117">
        <f t="shared" si="8"/>
        <v>10000</v>
      </c>
      <c r="J20" s="48"/>
      <c r="K20" s="47">
        <f t="shared" si="9"/>
        <v>10000</v>
      </c>
      <c r="L20" s="47"/>
      <c r="M20" s="49"/>
      <c r="N20" s="86"/>
    </row>
    <row r="21" spans="1:14" s="209" customFormat="1" ht="18.75">
      <c r="A21" s="198"/>
      <c r="B21" s="191" t="s">
        <v>215</v>
      </c>
      <c r="C21" s="199"/>
      <c r="D21" s="200"/>
      <c r="E21" s="201"/>
      <c r="F21" s="202"/>
      <c r="G21" s="203"/>
      <c r="H21" s="203"/>
      <c r="I21" s="204"/>
      <c r="J21" s="205"/>
      <c r="K21" s="206"/>
      <c r="L21" s="206">
        <f>SUM(K22:K24)</f>
        <v>50000</v>
      </c>
      <c r="M21" s="207"/>
      <c r="N21" s="208"/>
    </row>
    <row r="22" spans="1:14" ht="18.75">
      <c r="A22" s="10"/>
      <c r="B22" s="73" t="s">
        <v>230</v>
      </c>
      <c r="C22" s="74" t="s">
        <v>1</v>
      </c>
      <c r="D22" s="41">
        <v>1</v>
      </c>
      <c r="E22" s="123">
        <v>1</v>
      </c>
      <c r="F22" s="124">
        <v>10000</v>
      </c>
      <c r="G22" s="125"/>
      <c r="H22" s="125"/>
      <c r="I22" s="117">
        <f t="shared" ref="I22:I24" si="10">SUM(F22:H22)*E22</f>
        <v>10000</v>
      </c>
      <c r="J22" s="48"/>
      <c r="K22" s="47">
        <f t="shared" ref="K22:K24" si="11">D22*I22</f>
        <v>10000</v>
      </c>
      <c r="L22" s="47"/>
      <c r="M22" s="49"/>
      <c r="N22" s="86"/>
    </row>
    <row r="23" spans="1:14" ht="18.75">
      <c r="A23" s="10"/>
      <c r="B23" s="73" t="s">
        <v>232</v>
      </c>
      <c r="C23" s="74" t="s">
        <v>1</v>
      </c>
      <c r="D23" s="41">
        <v>1</v>
      </c>
      <c r="E23" s="123">
        <v>1</v>
      </c>
      <c r="F23" s="124">
        <v>40000</v>
      </c>
      <c r="G23" s="125"/>
      <c r="H23" s="125"/>
      <c r="I23" s="117">
        <f t="shared" ref="I23" si="12">SUM(F23:H23)*E23</f>
        <v>40000</v>
      </c>
      <c r="J23" s="48"/>
      <c r="K23" s="47">
        <f t="shared" ref="K23" si="13">D23*I23</f>
        <v>40000</v>
      </c>
      <c r="L23" s="47"/>
      <c r="M23" s="49"/>
      <c r="N23" s="86"/>
    </row>
    <row r="24" spans="1:14" ht="18.75">
      <c r="A24" s="10"/>
      <c r="B24" s="73" t="s">
        <v>231</v>
      </c>
      <c r="C24" s="74" t="s">
        <v>1</v>
      </c>
      <c r="D24" s="41">
        <v>0</v>
      </c>
      <c r="E24" s="123">
        <v>1</v>
      </c>
      <c r="F24" s="124"/>
      <c r="G24" s="125"/>
      <c r="H24" s="125"/>
      <c r="I24" s="117">
        <f t="shared" si="10"/>
        <v>0</v>
      </c>
      <c r="J24" s="48"/>
      <c r="K24" s="47">
        <f t="shared" si="11"/>
        <v>0</v>
      </c>
      <c r="L24" s="47"/>
      <c r="M24" s="49"/>
      <c r="N24" s="86"/>
    </row>
    <row r="25" spans="1:14" s="209" customFormat="1" ht="18.75">
      <c r="A25" s="198"/>
      <c r="B25" s="191" t="s">
        <v>216</v>
      </c>
      <c r="C25" s="199"/>
      <c r="D25" s="200"/>
      <c r="E25" s="201"/>
      <c r="F25" s="202"/>
      <c r="G25" s="203"/>
      <c r="H25" s="203"/>
      <c r="I25" s="204"/>
      <c r="J25" s="205"/>
      <c r="K25" s="206"/>
      <c r="L25" s="206">
        <f>SUM(K26:K27)</f>
        <v>150000</v>
      </c>
      <c r="M25" s="207"/>
      <c r="N25" s="208"/>
    </row>
    <row r="26" spans="1:14" ht="18.75">
      <c r="A26" s="10"/>
      <c r="B26" s="73" t="s">
        <v>230</v>
      </c>
      <c r="C26" s="74" t="s">
        <v>1</v>
      </c>
      <c r="D26" s="41">
        <v>1</v>
      </c>
      <c r="E26" s="123">
        <v>1</v>
      </c>
      <c r="F26" s="124">
        <v>150000</v>
      </c>
      <c r="G26" s="125"/>
      <c r="H26" s="125"/>
      <c r="I26" s="117">
        <f t="shared" ref="I26:I27" si="14">SUM(F26:H26)*E26</f>
        <v>150000</v>
      </c>
      <c r="J26" s="48"/>
      <c r="K26" s="47">
        <f t="shared" ref="K26:K27" si="15">D26*I26</f>
        <v>150000</v>
      </c>
      <c r="L26" s="47"/>
      <c r="M26" s="49"/>
      <c r="N26" s="86"/>
    </row>
    <row r="27" spans="1:14" ht="18.75">
      <c r="A27" s="10"/>
      <c r="B27" s="73" t="s">
        <v>231</v>
      </c>
      <c r="C27" s="74" t="s">
        <v>1</v>
      </c>
      <c r="D27" s="41">
        <v>0</v>
      </c>
      <c r="E27" s="123">
        <v>1</v>
      </c>
      <c r="F27" s="124"/>
      <c r="G27" s="125"/>
      <c r="H27" s="125"/>
      <c r="I27" s="117">
        <f t="shared" si="14"/>
        <v>0</v>
      </c>
      <c r="J27" s="48"/>
      <c r="K27" s="47">
        <f t="shared" si="15"/>
        <v>0</v>
      </c>
      <c r="L27" s="47"/>
      <c r="M27" s="49"/>
      <c r="N27" s="86"/>
    </row>
    <row r="28" spans="1:14" s="209" customFormat="1" ht="18.75">
      <c r="A28" s="198"/>
      <c r="B28" s="191" t="s">
        <v>217</v>
      </c>
      <c r="C28" s="199"/>
      <c r="D28" s="200"/>
      <c r="E28" s="201"/>
      <c r="F28" s="202"/>
      <c r="G28" s="203"/>
      <c r="H28" s="203"/>
      <c r="I28" s="204"/>
      <c r="J28" s="205"/>
      <c r="K28" s="206"/>
      <c r="L28" s="206">
        <f>SUM(K29:K30)</f>
        <v>100000</v>
      </c>
      <c r="M28" s="207"/>
      <c r="N28" s="208"/>
    </row>
    <row r="29" spans="1:14" ht="18.75">
      <c r="A29" s="10"/>
      <c r="B29" s="73" t="s">
        <v>230</v>
      </c>
      <c r="C29" s="74" t="s">
        <v>1</v>
      </c>
      <c r="D29" s="41">
        <v>1</v>
      </c>
      <c r="E29" s="123">
        <v>1</v>
      </c>
      <c r="F29" s="124">
        <v>100000</v>
      </c>
      <c r="G29" s="125"/>
      <c r="H29" s="125"/>
      <c r="I29" s="117">
        <f t="shared" ref="I29:I30" si="16">SUM(F29:H29)*E29</f>
        <v>100000</v>
      </c>
      <c r="J29" s="48"/>
      <c r="K29" s="47">
        <f t="shared" ref="K29:K30" si="17">D29*I29</f>
        <v>100000</v>
      </c>
      <c r="L29" s="47"/>
      <c r="M29" s="49"/>
      <c r="N29" s="86"/>
    </row>
    <row r="30" spans="1:14" ht="18.75">
      <c r="A30" s="10"/>
      <c r="B30" s="73" t="s">
        <v>231</v>
      </c>
      <c r="C30" s="74" t="s">
        <v>1</v>
      </c>
      <c r="D30" s="41">
        <v>0</v>
      </c>
      <c r="E30" s="123">
        <v>1</v>
      </c>
      <c r="F30" s="124"/>
      <c r="G30" s="125"/>
      <c r="H30" s="125"/>
      <c r="I30" s="117">
        <f t="shared" si="16"/>
        <v>0</v>
      </c>
      <c r="J30" s="48"/>
      <c r="K30" s="47">
        <f t="shared" si="17"/>
        <v>0</v>
      </c>
      <c r="L30" s="47"/>
      <c r="M30" s="49"/>
      <c r="N30" s="86"/>
    </row>
    <row r="31" spans="1:14" s="209" customFormat="1" ht="18.75">
      <c r="A31" s="198"/>
      <c r="B31" s="191" t="s">
        <v>218</v>
      </c>
      <c r="C31" s="199"/>
      <c r="D31" s="200"/>
      <c r="E31" s="201"/>
      <c r="F31" s="202"/>
      <c r="G31" s="203"/>
      <c r="H31" s="203"/>
      <c r="I31" s="204"/>
      <c r="J31" s="205"/>
      <c r="K31" s="206"/>
      <c r="L31" s="206">
        <f>SUM(K32:K33)</f>
        <v>100000</v>
      </c>
      <c r="M31" s="207"/>
      <c r="N31" s="208"/>
    </row>
    <row r="32" spans="1:14" ht="18.75">
      <c r="A32" s="10"/>
      <c r="B32" s="73" t="s">
        <v>230</v>
      </c>
      <c r="C32" s="74" t="s">
        <v>1</v>
      </c>
      <c r="D32" s="41">
        <v>1</v>
      </c>
      <c r="E32" s="123">
        <v>1</v>
      </c>
      <c r="F32" s="124">
        <v>100000</v>
      </c>
      <c r="G32" s="125"/>
      <c r="H32" s="125"/>
      <c r="I32" s="117">
        <f t="shared" ref="I32:I33" si="18">SUM(F32:H32)*E32</f>
        <v>100000</v>
      </c>
      <c r="J32" s="48"/>
      <c r="K32" s="47">
        <f t="shared" ref="K32:K33" si="19">D32*I32</f>
        <v>100000</v>
      </c>
      <c r="L32" s="47"/>
      <c r="M32" s="49"/>
      <c r="N32" s="86"/>
    </row>
    <row r="33" spans="1:14" ht="18.75">
      <c r="A33" s="10"/>
      <c r="B33" s="73" t="s">
        <v>231</v>
      </c>
      <c r="C33" s="74" t="s">
        <v>1</v>
      </c>
      <c r="D33" s="41">
        <v>0</v>
      </c>
      <c r="E33" s="123">
        <v>1</v>
      </c>
      <c r="F33" s="124"/>
      <c r="G33" s="125"/>
      <c r="H33" s="125"/>
      <c r="I33" s="117">
        <f t="shared" si="18"/>
        <v>0</v>
      </c>
      <c r="J33" s="48"/>
      <c r="K33" s="47">
        <f t="shared" si="19"/>
        <v>0</v>
      </c>
      <c r="L33" s="47"/>
      <c r="M33" s="49"/>
      <c r="N33" s="86"/>
    </row>
    <row r="34" spans="1:14" s="209" customFormat="1" ht="18.75">
      <c r="A34" s="198"/>
      <c r="B34" s="191" t="s">
        <v>219</v>
      </c>
      <c r="C34" s="199"/>
      <c r="D34" s="200"/>
      <c r="E34" s="201"/>
      <c r="F34" s="202"/>
      <c r="G34" s="203"/>
      <c r="H34" s="203"/>
      <c r="I34" s="204"/>
      <c r="J34" s="205"/>
      <c r="K34" s="206"/>
      <c r="L34" s="206">
        <f>SUM(K35:K36)</f>
        <v>30000</v>
      </c>
      <c r="M34" s="207"/>
      <c r="N34" s="208"/>
    </row>
    <row r="35" spans="1:14" ht="18.75">
      <c r="A35" s="10"/>
      <c r="B35" s="73" t="s">
        <v>230</v>
      </c>
      <c r="C35" s="74" t="s">
        <v>1</v>
      </c>
      <c r="D35" s="41">
        <v>1</v>
      </c>
      <c r="E35" s="123">
        <v>1</v>
      </c>
      <c r="F35" s="124">
        <v>30000</v>
      </c>
      <c r="G35" s="125"/>
      <c r="H35" s="125"/>
      <c r="I35" s="117">
        <f t="shared" ref="I35:I36" si="20">SUM(F35:H35)*E35</f>
        <v>30000</v>
      </c>
      <c r="J35" s="48"/>
      <c r="K35" s="47">
        <f t="shared" ref="K35:K36" si="21">D35*I35</f>
        <v>30000</v>
      </c>
      <c r="L35" s="47"/>
      <c r="M35" s="49"/>
      <c r="N35" s="86"/>
    </row>
    <row r="36" spans="1:14" ht="18.75">
      <c r="A36" s="10"/>
      <c r="B36" s="73" t="s">
        <v>231</v>
      </c>
      <c r="C36" s="74" t="s">
        <v>1</v>
      </c>
      <c r="D36" s="41">
        <v>0</v>
      </c>
      <c r="E36" s="123">
        <v>1</v>
      </c>
      <c r="F36" s="124"/>
      <c r="G36" s="125"/>
      <c r="H36" s="125"/>
      <c r="I36" s="117">
        <f t="shared" si="20"/>
        <v>0</v>
      </c>
      <c r="J36" s="48"/>
      <c r="K36" s="47">
        <f t="shared" si="21"/>
        <v>0</v>
      </c>
      <c r="L36" s="47"/>
      <c r="M36" s="49"/>
      <c r="N36" s="86"/>
    </row>
    <row r="37" spans="1:14" s="209" customFormat="1" ht="18.75">
      <c r="A37" s="198"/>
      <c r="B37" s="191" t="s">
        <v>220</v>
      </c>
      <c r="C37" s="199"/>
      <c r="D37" s="200"/>
      <c r="E37" s="201"/>
      <c r="F37" s="202"/>
      <c r="G37" s="203"/>
      <c r="H37" s="203"/>
      <c r="I37" s="204"/>
      <c r="J37" s="205"/>
      <c r="K37" s="206"/>
      <c r="L37" s="206">
        <f>SUM(K38:K39)</f>
        <v>40000</v>
      </c>
      <c r="M37" s="207"/>
      <c r="N37" s="208"/>
    </row>
    <row r="38" spans="1:14" ht="18.75">
      <c r="A38" s="10"/>
      <c r="B38" s="73" t="s">
        <v>230</v>
      </c>
      <c r="C38" s="74" t="s">
        <v>1</v>
      </c>
      <c r="D38" s="41">
        <v>1</v>
      </c>
      <c r="E38" s="123">
        <v>1</v>
      </c>
      <c r="F38" s="124">
        <v>40000</v>
      </c>
      <c r="G38" s="125"/>
      <c r="H38" s="125"/>
      <c r="I38" s="117">
        <f t="shared" ref="I38:I39" si="22">SUM(F38:H38)*E38</f>
        <v>40000</v>
      </c>
      <c r="J38" s="48"/>
      <c r="K38" s="47">
        <f t="shared" ref="K38:K39" si="23">D38*I38</f>
        <v>40000</v>
      </c>
      <c r="L38" s="47"/>
      <c r="M38" s="49"/>
      <c r="N38" s="86"/>
    </row>
    <row r="39" spans="1:14" ht="18.75">
      <c r="A39" s="10"/>
      <c r="B39" s="73" t="s">
        <v>231</v>
      </c>
      <c r="C39" s="74" t="s">
        <v>1</v>
      </c>
      <c r="D39" s="41">
        <v>0</v>
      </c>
      <c r="E39" s="123">
        <v>1</v>
      </c>
      <c r="F39" s="124"/>
      <c r="G39" s="125"/>
      <c r="H39" s="125"/>
      <c r="I39" s="117">
        <f t="shared" si="22"/>
        <v>0</v>
      </c>
      <c r="J39" s="48"/>
      <c r="K39" s="47">
        <f t="shared" si="23"/>
        <v>0</v>
      </c>
      <c r="L39" s="47"/>
      <c r="M39" s="49"/>
      <c r="N39" s="86"/>
    </row>
    <row r="40" spans="1:14" s="209" customFormat="1" ht="18.75">
      <c r="A40" s="198"/>
      <c r="B40" s="191" t="s">
        <v>221</v>
      </c>
      <c r="C40" s="199"/>
      <c r="D40" s="200"/>
      <c r="E40" s="201"/>
      <c r="F40" s="202"/>
      <c r="G40" s="203"/>
      <c r="H40" s="203"/>
      <c r="I40" s="204"/>
      <c r="J40" s="205"/>
      <c r="K40" s="206"/>
      <c r="L40" s="206">
        <f>SUM(K41:K43)</f>
        <v>80000</v>
      </c>
      <c r="M40" s="207"/>
      <c r="N40" s="208"/>
    </row>
    <row r="41" spans="1:14" ht="18.75">
      <c r="A41" s="10"/>
      <c r="B41" s="73" t="s">
        <v>230</v>
      </c>
      <c r="C41" s="74" t="s">
        <v>1</v>
      </c>
      <c r="D41" s="41">
        <v>1</v>
      </c>
      <c r="E41" s="123">
        <v>1</v>
      </c>
      <c r="F41" s="124">
        <v>40000</v>
      </c>
      <c r="G41" s="125"/>
      <c r="H41" s="125"/>
      <c r="I41" s="117">
        <f t="shared" ref="I41:I43" si="24">SUM(F41:H41)*E41</f>
        <v>40000</v>
      </c>
      <c r="J41" s="48"/>
      <c r="K41" s="47">
        <f t="shared" ref="K41:K43" si="25">D41*I41</f>
        <v>40000</v>
      </c>
      <c r="L41" s="47"/>
      <c r="M41" s="49"/>
      <c r="N41" s="86"/>
    </row>
    <row r="42" spans="1:14" ht="18.75">
      <c r="A42" s="10"/>
      <c r="B42" s="73" t="s">
        <v>233</v>
      </c>
      <c r="C42" s="74" t="s">
        <v>1</v>
      </c>
      <c r="D42" s="41">
        <v>1</v>
      </c>
      <c r="E42" s="123">
        <v>1</v>
      </c>
      <c r="F42" s="124">
        <v>40000</v>
      </c>
      <c r="G42" s="125"/>
      <c r="H42" s="125"/>
      <c r="I42" s="117">
        <f t="shared" si="24"/>
        <v>40000</v>
      </c>
      <c r="J42" s="48"/>
      <c r="K42" s="47">
        <f t="shared" si="25"/>
        <v>40000</v>
      </c>
      <c r="L42" s="47"/>
      <c r="M42" s="49"/>
      <c r="N42" s="86"/>
    </row>
    <row r="43" spans="1:14" ht="18.75">
      <c r="A43" s="10"/>
      <c r="B43" s="73" t="s">
        <v>231</v>
      </c>
      <c r="C43" s="74" t="s">
        <v>1</v>
      </c>
      <c r="D43" s="41">
        <v>0</v>
      </c>
      <c r="E43" s="123">
        <v>1</v>
      </c>
      <c r="F43" s="124"/>
      <c r="G43" s="125"/>
      <c r="H43" s="125"/>
      <c r="I43" s="117">
        <f t="shared" si="24"/>
        <v>0</v>
      </c>
      <c r="J43" s="48"/>
      <c r="K43" s="47">
        <f t="shared" si="25"/>
        <v>0</v>
      </c>
      <c r="L43" s="47"/>
      <c r="M43" s="49"/>
      <c r="N43" s="86"/>
    </row>
    <row r="44" spans="1:14" s="209" customFormat="1" ht="18.75">
      <c r="A44" s="198"/>
      <c r="B44" s="191" t="s">
        <v>222</v>
      </c>
      <c r="C44" s="199"/>
      <c r="D44" s="200"/>
      <c r="E44" s="201"/>
      <c r="F44" s="202"/>
      <c r="G44" s="203"/>
      <c r="H44" s="203"/>
      <c r="I44" s="204"/>
      <c r="J44" s="205"/>
      <c r="K44" s="206"/>
      <c r="L44" s="206">
        <f>SUM(K45:K47)</f>
        <v>100000</v>
      </c>
      <c r="M44" s="207"/>
      <c r="N44" s="208"/>
    </row>
    <row r="45" spans="1:14" ht="18.75">
      <c r="A45" s="10"/>
      <c r="B45" s="73" t="s">
        <v>230</v>
      </c>
      <c r="C45" s="74" t="s">
        <v>1</v>
      </c>
      <c r="D45" s="41">
        <v>0</v>
      </c>
      <c r="E45" s="123">
        <v>1</v>
      </c>
      <c r="F45" s="124"/>
      <c r="G45" s="125"/>
      <c r="H45" s="125"/>
      <c r="I45" s="117">
        <f t="shared" ref="I45:I47" si="26">SUM(F45:H45)*E45</f>
        <v>0</v>
      </c>
      <c r="J45" s="48"/>
      <c r="K45" s="47">
        <f t="shared" ref="K45:K47" si="27">D45*I45</f>
        <v>0</v>
      </c>
      <c r="L45" s="47"/>
      <c r="M45" s="49"/>
      <c r="N45" s="86"/>
    </row>
    <row r="46" spans="1:14" ht="18.75">
      <c r="A46" s="10"/>
      <c r="B46" s="73" t="s">
        <v>233</v>
      </c>
      <c r="C46" s="74" t="s">
        <v>1</v>
      </c>
      <c r="D46" s="41">
        <v>1</v>
      </c>
      <c r="E46" s="123">
        <v>1</v>
      </c>
      <c r="F46" s="124">
        <v>100000</v>
      </c>
      <c r="G46" s="125"/>
      <c r="H46" s="125"/>
      <c r="I46" s="117">
        <f t="shared" ref="I46" si="28">SUM(F46:H46)*E46</f>
        <v>100000</v>
      </c>
      <c r="J46" s="48"/>
      <c r="K46" s="47">
        <f t="shared" ref="K46" si="29">D46*I46</f>
        <v>100000</v>
      </c>
      <c r="L46" s="47"/>
      <c r="M46" s="49"/>
      <c r="N46" s="86"/>
    </row>
    <row r="47" spans="1:14" ht="18.75">
      <c r="A47" s="10"/>
      <c r="B47" s="73" t="s">
        <v>231</v>
      </c>
      <c r="C47" s="74" t="s">
        <v>1</v>
      </c>
      <c r="D47" s="41">
        <v>0</v>
      </c>
      <c r="E47" s="123">
        <v>1</v>
      </c>
      <c r="F47" s="124"/>
      <c r="G47" s="125"/>
      <c r="H47" s="125"/>
      <c r="I47" s="117">
        <f t="shared" si="26"/>
        <v>0</v>
      </c>
      <c r="J47" s="48"/>
      <c r="K47" s="47">
        <f t="shared" si="27"/>
        <v>0</v>
      </c>
      <c r="L47" s="47"/>
      <c r="M47" s="49"/>
      <c r="N47" s="86"/>
    </row>
    <row r="48" spans="1:14" s="209" customFormat="1" ht="18.75">
      <c r="A48" s="198"/>
      <c r="B48" s="191" t="s">
        <v>223</v>
      </c>
      <c r="C48" s="199"/>
      <c r="D48" s="200"/>
      <c r="E48" s="201"/>
      <c r="F48" s="202"/>
      <c r="G48" s="203"/>
      <c r="H48" s="203"/>
      <c r="I48" s="204"/>
      <c r="J48" s="205"/>
      <c r="K48" s="206"/>
      <c r="L48" s="206">
        <f>SUM(K49:K50)</f>
        <v>40000</v>
      </c>
      <c r="M48" s="207"/>
      <c r="N48" s="208"/>
    </row>
    <row r="49" spans="1:14" ht="18.75">
      <c r="A49" s="10"/>
      <c r="B49" s="73" t="s">
        <v>230</v>
      </c>
      <c r="C49" s="74" t="s">
        <v>1</v>
      </c>
      <c r="D49" s="41">
        <v>1</v>
      </c>
      <c r="E49" s="123">
        <v>1</v>
      </c>
      <c r="F49" s="124">
        <v>40000</v>
      </c>
      <c r="G49" s="125"/>
      <c r="H49" s="125"/>
      <c r="I49" s="117">
        <f t="shared" ref="I49:I50" si="30">SUM(F49:H49)*E49</f>
        <v>40000</v>
      </c>
      <c r="J49" s="48"/>
      <c r="K49" s="47">
        <f t="shared" ref="K49:K50" si="31">D49*I49</f>
        <v>40000</v>
      </c>
      <c r="L49" s="47"/>
      <c r="M49" s="49"/>
      <c r="N49" s="86"/>
    </row>
    <row r="50" spans="1:14" ht="18.75">
      <c r="A50" s="10"/>
      <c r="B50" s="73" t="s">
        <v>231</v>
      </c>
      <c r="C50" s="74" t="s">
        <v>1</v>
      </c>
      <c r="D50" s="41">
        <v>0</v>
      </c>
      <c r="E50" s="123">
        <v>1</v>
      </c>
      <c r="F50" s="124"/>
      <c r="G50" s="125"/>
      <c r="H50" s="125"/>
      <c r="I50" s="117">
        <f t="shared" si="30"/>
        <v>0</v>
      </c>
      <c r="J50" s="48"/>
      <c r="K50" s="47">
        <f t="shared" si="31"/>
        <v>0</v>
      </c>
      <c r="L50" s="47"/>
      <c r="M50" s="49"/>
      <c r="N50" s="86"/>
    </row>
    <row r="51" spans="1:14" s="209" customFormat="1" ht="18.75">
      <c r="A51" s="198"/>
      <c r="B51" s="191" t="s">
        <v>224</v>
      </c>
      <c r="C51" s="199"/>
      <c r="D51" s="200"/>
      <c r="E51" s="201"/>
      <c r="F51" s="202"/>
      <c r="G51" s="203"/>
      <c r="H51" s="203"/>
      <c r="I51" s="204"/>
      <c r="J51" s="205"/>
      <c r="K51" s="206"/>
      <c r="L51" s="206">
        <f>SUM(K52:K53)</f>
        <v>100000</v>
      </c>
      <c r="M51" s="207"/>
      <c r="N51" s="208"/>
    </row>
    <row r="52" spans="1:14" ht="18.75">
      <c r="A52" s="10"/>
      <c r="B52" s="73" t="s">
        <v>230</v>
      </c>
      <c r="C52" s="74" t="s">
        <v>1</v>
      </c>
      <c r="D52" s="41">
        <v>1</v>
      </c>
      <c r="E52" s="123">
        <v>1</v>
      </c>
      <c r="F52" s="124">
        <v>100000</v>
      </c>
      <c r="G52" s="125"/>
      <c r="H52" s="125"/>
      <c r="I52" s="117">
        <f t="shared" ref="I52:I53" si="32">SUM(F52:H52)*E52</f>
        <v>100000</v>
      </c>
      <c r="J52" s="48"/>
      <c r="K52" s="47">
        <f t="shared" ref="K52:K53" si="33">D52*I52</f>
        <v>100000</v>
      </c>
      <c r="L52" s="47"/>
      <c r="M52" s="49"/>
      <c r="N52" s="86"/>
    </row>
    <row r="53" spans="1:14" ht="18.75">
      <c r="A53" s="10"/>
      <c r="B53" s="73" t="s">
        <v>231</v>
      </c>
      <c r="C53" s="74" t="s">
        <v>1</v>
      </c>
      <c r="D53" s="41">
        <v>0</v>
      </c>
      <c r="E53" s="123">
        <v>1</v>
      </c>
      <c r="F53" s="124"/>
      <c r="G53" s="125"/>
      <c r="H53" s="125"/>
      <c r="I53" s="117">
        <f t="shared" si="32"/>
        <v>0</v>
      </c>
      <c r="J53" s="48"/>
      <c r="K53" s="47">
        <f t="shared" si="33"/>
        <v>0</v>
      </c>
      <c r="L53" s="47"/>
      <c r="M53" s="49"/>
      <c r="N53" s="86"/>
    </row>
    <row r="54" spans="1:14" s="209" customFormat="1" ht="18.75">
      <c r="A54" s="198"/>
      <c r="B54" s="191" t="s">
        <v>225</v>
      </c>
      <c r="C54" s="199"/>
      <c r="D54" s="200"/>
      <c r="E54" s="201"/>
      <c r="F54" s="202"/>
      <c r="G54" s="203"/>
      <c r="H54" s="203"/>
      <c r="I54" s="204"/>
      <c r="J54" s="205"/>
      <c r="K54" s="206"/>
      <c r="L54" s="206">
        <f>SUM(K55:K56)</f>
        <v>50000</v>
      </c>
      <c r="M54" s="207"/>
      <c r="N54" s="208"/>
    </row>
    <row r="55" spans="1:14" ht="18.75">
      <c r="A55" s="10"/>
      <c r="B55" s="73" t="s">
        <v>230</v>
      </c>
      <c r="C55" s="74" t="s">
        <v>1</v>
      </c>
      <c r="D55" s="41">
        <v>1</v>
      </c>
      <c r="E55" s="123">
        <v>1</v>
      </c>
      <c r="F55" s="124">
        <v>50000</v>
      </c>
      <c r="G55" s="125"/>
      <c r="H55" s="125"/>
      <c r="I55" s="117">
        <f t="shared" ref="I55:I56" si="34">SUM(F55:H55)*E55</f>
        <v>50000</v>
      </c>
      <c r="J55" s="48"/>
      <c r="K55" s="47">
        <f t="shared" ref="K55:K56" si="35">D55*I55</f>
        <v>50000</v>
      </c>
      <c r="L55" s="47"/>
      <c r="M55" s="49"/>
      <c r="N55" s="86"/>
    </row>
    <row r="56" spans="1:14" ht="18.75">
      <c r="A56" s="10"/>
      <c r="B56" s="73" t="s">
        <v>231</v>
      </c>
      <c r="C56" s="74" t="s">
        <v>1</v>
      </c>
      <c r="D56" s="41">
        <v>0</v>
      </c>
      <c r="E56" s="123">
        <v>1</v>
      </c>
      <c r="F56" s="124"/>
      <c r="G56" s="125"/>
      <c r="H56" s="125"/>
      <c r="I56" s="117">
        <f t="shared" si="34"/>
        <v>0</v>
      </c>
      <c r="J56" s="48"/>
      <c r="K56" s="47">
        <f t="shared" si="35"/>
        <v>0</v>
      </c>
      <c r="L56" s="47"/>
      <c r="M56" s="49"/>
      <c r="N56" s="86"/>
    </row>
    <row r="57" spans="1:14" s="209" customFormat="1" ht="18.75">
      <c r="A57" s="198"/>
      <c r="B57" s="191" t="s">
        <v>226</v>
      </c>
      <c r="C57" s="199"/>
      <c r="D57" s="200"/>
      <c r="E57" s="201"/>
      <c r="F57" s="202"/>
      <c r="G57" s="203"/>
      <c r="H57" s="203"/>
      <c r="I57" s="204"/>
      <c r="J57" s="205"/>
      <c r="K57" s="206"/>
      <c r="L57" s="206">
        <f>SUM(K58:K59)</f>
        <v>10000</v>
      </c>
      <c r="M57" s="207"/>
      <c r="N57" s="208"/>
    </row>
    <row r="58" spans="1:14" ht="18.75">
      <c r="A58" s="10"/>
      <c r="B58" s="73" t="s">
        <v>230</v>
      </c>
      <c r="C58" s="74" t="s">
        <v>1</v>
      </c>
      <c r="D58" s="41">
        <v>0</v>
      </c>
      <c r="E58" s="123">
        <v>1</v>
      </c>
      <c r="F58" s="124"/>
      <c r="G58" s="125"/>
      <c r="H58" s="125"/>
      <c r="I58" s="117">
        <f t="shared" ref="I58:I59" si="36">SUM(F58:H58)*E58</f>
        <v>0</v>
      </c>
      <c r="J58" s="48"/>
      <c r="K58" s="47">
        <f t="shared" ref="K58:K59" si="37">D58*I58</f>
        <v>0</v>
      </c>
      <c r="L58" s="47"/>
      <c r="M58" s="49"/>
      <c r="N58" s="86"/>
    </row>
    <row r="59" spans="1:14" ht="18.75">
      <c r="A59" s="10"/>
      <c r="B59" s="73" t="s">
        <v>231</v>
      </c>
      <c r="C59" s="74" t="s">
        <v>1</v>
      </c>
      <c r="D59" s="41">
        <v>1</v>
      </c>
      <c r="E59" s="123">
        <v>1</v>
      </c>
      <c r="F59" s="124">
        <v>10000</v>
      </c>
      <c r="G59" s="125"/>
      <c r="H59" s="125"/>
      <c r="I59" s="117">
        <f t="shared" si="36"/>
        <v>10000</v>
      </c>
      <c r="J59" s="48"/>
      <c r="K59" s="47">
        <f t="shared" si="37"/>
        <v>10000</v>
      </c>
      <c r="L59" s="47"/>
      <c r="M59" s="49"/>
      <c r="N59" s="86"/>
    </row>
    <row r="60" spans="1:14" s="209" customFormat="1" ht="18.75">
      <c r="A60" s="198"/>
      <c r="B60" s="191" t="s">
        <v>227</v>
      </c>
      <c r="C60" s="199"/>
      <c r="D60" s="200"/>
      <c r="E60" s="201"/>
      <c r="F60" s="202"/>
      <c r="G60" s="203"/>
      <c r="H60" s="203"/>
      <c r="I60" s="204"/>
      <c r="J60" s="205"/>
      <c r="K60" s="206"/>
      <c r="L60" s="206">
        <f>SUM(K61:K62)</f>
        <v>100000</v>
      </c>
      <c r="M60" s="207"/>
      <c r="N60" s="208"/>
    </row>
    <row r="61" spans="1:14" ht="18.75">
      <c r="A61" s="10"/>
      <c r="B61" s="73" t="s">
        <v>230</v>
      </c>
      <c r="C61" s="74" t="s">
        <v>1</v>
      </c>
      <c r="D61" s="41">
        <v>1</v>
      </c>
      <c r="E61" s="123">
        <v>1</v>
      </c>
      <c r="F61" s="124">
        <v>100000</v>
      </c>
      <c r="G61" s="125"/>
      <c r="H61" s="125"/>
      <c r="I61" s="117">
        <f t="shared" ref="I61:I62" si="38">SUM(F61:H61)*E61</f>
        <v>100000</v>
      </c>
      <c r="J61" s="48"/>
      <c r="K61" s="47">
        <f t="shared" ref="K61:K62" si="39">D61*I61</f>
        <v>100000</v>
      </c>
      <c r="L61" s="47"/>
      <c r="M61" s="49"/>
      <c r="N61" s="86"/>
    </row>
    <row r="62" spans="1:14" ht="18.75">
      <c r="A62" s="10"/>
      <c r="B62" s="73" t="s">
        <v>231</v>
      </c>
      <c r="C62" s="74" t="s">
        <v>1</v>
      </c>
      <c r="D62" s="41">
        <v>0</v>
      </c>
      <c r="E62" s="123">
        <v>1</v>
      </c>
      <c r="F62" s="124"/>
      <c r="G62" s="125"/>
      <c r="H62" s="125"/>
      <c r="I62" s="117">
        <f t="shared" si="38"/>
        <v>0</v>
      </c>
      <c r="J62" s="48"/>
      <c r="K62" s="47">
        <f t="shared" si="39"/>
        <v>0</v>
      </c>
      <c r="L62" s="47"/>
      <c r="M62" s="49"/>
      <c r="N62" s="86"/>
    </row>
    <row r="63" spans="1:14" s="209" customFormat="1" ht="18.75">
      <c r="A63" s="198"/>
      <c r="B63" s="191" t="s">
        <v>228</v>
      </c>
      <c r="C63" s="199"/>
      <c r="D63" s="200"/>
      <c r="E63" s="201"/>
      <c r="F63" s="202"/>
      <c r="G63" s="203"/>
      <c r="H63" s="203"/>
      <c r="I63" s="204"/>
      <c r="J63" s="205"/>
      <c r="K63" s="206"/>
      <c r="L63" s="206">
        <f>SUM(K64:K65)</f>
        <v>0</v>
      </c>
      <c r="M63" s="207"/>
      <c r="N63" s="208"/>
    </row>
    <row r="64" spans="1:14" ht="18.75">
      <c r="A64" s="10"/>
      <c r="B64" s="73" t="s">
        <v>230</v>
      </c>
      <c r="C64" s="74" t="s">
        <v>1</v>
      </c>
      <c r="D64" s="41">
        <v>0</v>
      </c>
      <c r="E64" s="123">
        <v>1</v>
      </c>
      <c r="F64" s="124"/>
      <c r="G64" s="125"/>
      <c r="H64" s="125"/>
      <c r="I64" s="117">
        <f t="shared" ref="I64:I65" si="40">SUM(F64:H64)*E64</f>
        <v>0</v>
      </c>
      <c r="J64" s="48"/>
      <c r="K64" s="47">
        <f t="shared" ref="K64:K65" si="41">D64*I64</f>
        <v>0</v>
      </c>
      <c r="L64" s="47"/>
      <c r="M64" s="49"/>
      <c r="N64" s="86"/>
    </row>
    <row r="65" spans="1:14" ht="18.75">
      <c r="A65" s="10"/>
      <c r="B65" s="73" t="s">
        <v>231</v>
      </c>
      <c r="C65" s="74" t="s">
        <v>1</v>
      </c>
      <c r="D65" s="41">
        <v>0</v>
      </c>
      <c r="E65" s="123">
        <v>1</v>
      </c>
      <c r="F65" s="124"/>
      <c r="G65" s="125"/>
      <c r="H65" s="125"/>
      <c r="I65" s="117">
        <f t="shared" si="40"/>
        <v>0</v>
      </c>
      <c r="J65" s="48"/>
      <c r="K65" s="47">
        <f t="shared" si="41"/>
        <v>0</v>
      </c>
      <c r="L65" s="47"/>
      <c r="M65" s="49"/>
      <c r="N65" s="86"/>
    </row>
    <row r="66" spans="1:14" s="209" customFormat="1" ht="18.75">
      <c r="A66" s="198"/>
      <c r="B66" s="191" t="s">
        <v>229</v>
      </c>
      <c r="C66" s="199"/>
      <c r="D66" s="200"/>
      <c r="E66" s="201"/>
      <c r="F66" s="202"/>
      <c r="G66" s="203"/>
      <c r="H66" s="203"/>
      <c r="I66" s="204"/>
      <c r="J66" s="205"/>
      <c r="K66" s="206"/>
      <c r="L66" s="206">
        <f>SUM(K67:K68)</f>
        <v>70000</v>
      </c>
      <c r="M66" s="207"/>
      <c r="N66" s="208"/>
    </row>
    <row r="67" spans="1:14" ht="18.75">
      <c r="A67" s="10"/>
      <c r="B67" s="73" t="s">
        <v>230</v>
      </c>
      <c r="C67" s="74" t="s">
        <v>1</v>
      </c>
      <c r="D67" s="41">
        <v>1</v>
      </c>
      <c r="E67" s="123">
        <v>1</v>
      </c>
      <c r="F67" s="124">
        <v>70000</v>
      </c>
      <c r="G67" s="125"/>
      <c r="H67" s="125"/>
      <c r="I67" s="117">
        <f t="shared" ref="I67:I68" si="42">SUM(F67:H67)*E67</f>
        <v>70000</v>
      </c>
      <c r="J67" s="48"/>
      <c r="K67" s="47">
        <f t="shared" ref="K67:K68" si="43">D67*I67</f>
        <v>70000</v>
      </c>
      <c r="L67" s="47"/>
      <c r="M67" s="49"/>
      <c r="N67" s="86"/>
    </row>
    <row r="68" spans="1:14" ht="18.75">
      <c r="A68" s="10"/>
      <c r="B68" s="73" t="s">
        <v>231</v>
      </c>
      <c r="C68" s="74" t="s">
        <v>1</v>
      </c>
      <c r="D68" s="41">
        <v>0</v>
      </c>
      <c r="E68" s="123">
        <v>1</v>
      </c>
      <c r="F68" s="124"/>
      <c r="G68" s="125"/>
      <c r="H68" s="125"/>
      <c r="I68" s="117">
        <f t="shared" si="42"/>
        <v>0</v>
      </c>
      <c r="J68" s="48"/>
      <c r="K68" s="47">
        <f t="shared" si="43"/>
        <v>0</v>
      </c>
      <c r="L68" s="47"/>
      <c r="M68" s="49"/>
      <c r="N68" s="86"/>
    </row>
    <row r="69" spans="1:14" ht="18.75">
      <c r="A69" s="10"/>
      <c r="B69" s="73"/>
      <c r="C69" s="87"/>
      <c r="D69" s="181"/>
      <c r="E69" s="123"/>
      <c r="F69" s="124"/>
      <c r="G69" s="125"/>
      <c r="H69" s="125"/>
      <c r="I69" s="117"/>
      <c r="J69" s="48"/>
      <c r="K69" s="47"/>
      <c r="L69" s="47"/>
      <c r="M69" s="49"/>
      <c r="N69" s="86"/>
    </row>
    <row r="70" spans="1:14" ht="18.75">
      <c r="A70" s="10"/>
      <c r="B70" s="73"/>
      <c r="C70" s="87"/>
      <c r="D70" s="181"/>
      <c r="E70" s="123"/>
      <c r="F70" s="124"/>
      <c r="G70" s="125"/>
      <c r="H70" s="125"/>
      <c r="I70" s="117"/>
      <c r="J70" s="48"/>
      <c r="K70" s="47"/>
      <c r="L70" s="47"/>
      <c r="M70" s="49"/>
      <c r="N70" s="86"/>
    </row>
    <row r="71" spans="1:14" s="60" customFormat="1" ht="18">
      <c r="A71" s="8"/>
      <c r="B71" s="92" t="s">
        <v>185</v>
      </c>
      <c r="C71" s="76"/>
      <c r="D71" s="77"/>
      <c r="E71" s="178"/>
      <c r="F71" s="160"/>
      <c r="G71" s="170"/>
      <c r="H71" s="170"/>
      <c r="I71" s="45"/>
      <c r="J71" s="6"/>
      <c r="K71" s="7"/>
      <c r="L71" s="7"/>
      <c r="M71" s="78">
        <f>SUM(L72:L141)</f>
        <v>5255342</v>
      </c>
      <c r="N71" s="9"/>
    </row>
    <row r="72" spans="1:14" s="65" customFormat="1" ht="18.75">
      <c r="A72" s="14"/>
      <c r="B72" s="79"/>
      <c r="C72" s="80"/>
      <c r="D72" s="81"/>
      <c r="E72" s="179"/>
      <c r="F72" s="161"/>
      <c r="G72" s="171"/>
      <c r="H72" s="171"/>
      <c r="I72" s="39"/>
      <c r="J72" s="82"/>
      <c r="K72" s="83"/>
      <c r="L72" s="64"/>
      <c r="M72" s="64"/>
      <c r="N72" s="84"/>
    </row>
    <row r="73" spans="1:14" s="209" customFormat="1" ht="18.75">
      <c r="A73" s="198"/>
      <c r="B73" s="191" t="s">
        <v>208</v>
      </c>
      <c r="C73" s="199"/>
      <c r="D73" s="200"/>
      <c r="E73" s="201"/>
      <c r="F73" s="202"/>
      <c r="G73" s="203"/>
      <c r="H73" s="203"/>
      <c r="I73" s="204"/>
      <c r="J73" s="205"/>
      <c r="K73" s="206"/>
      <c r="L73" s="206">
        <f>SUM(K74:K75)</f>
        <v>183480</v>
      </c>
      <c r="M73" s="207"/>
      <c r="N73" s="208"/>
    </row>
    <row r="74" spans="1:14" ht="18.75">
      <c r="A74" s="10"/>
      <c r="B74" s="73" t="s">
        <v>209</v>
      </c>
      <c r="C74" s="74" t="s">
        <v>0</v>
      </c>
      <c r="D74" s="41">
        <f>430+98</f>
        <v>528</v>
      </c>
      <c r="E74" s="123">
        <v>1</v>
      </c>
      <c r="F74" s="124">
        <v>300</v>
      </c>
      <c r="G74" s="125"/>
      <c r="H74" s="125"/>
      <c r="I74" s="117">
        <f t="shared" ref="I74:I75" si="44">SUM(F74:H74)*E74</f>
        <v>300</v>
      </c>
      <c r="J74" s="48"/>
      <c r="K74" s="47">
        <f t="shared" ref="K74:K75" si="45">D74*I74</f>
        <v>158400</v>
      </c>
      <c r="L74" s="47"/>
      <c r="M74" s="49"/>
      <c r="N74" s="86"/>
    </row>
    <row r="75" spans="1:14" ht="18.75">
      <c r="A75" s="10"/>
      <c r="B75" s="73" t="s">
        <v>210</v>
      </c>
      <c r="C75" s="74" t="s">
        <v>0</v>
      </c>
      <c r="D75" s="41">
        <v>627</v>
      </c>
      <c r="E75" s="123">
        <v>1</v>
      </c>
      <c r="F75" s="124">
        <v>40</v>
      </c>
      <c r="G75" s="125"/>
      <c r="H75" s="125"/>
      <c r="I75" s="117">
        <f t="shared" si="44"/>
        <v>40</v>
      </c>
      <c r="J75" s="48"/>
      <c r="K75" s="47">
        <f t="shared" si="45"/>
        <v>25080</v>
      </c>
      <c r="L75" s="47"/>
      <c r="M75" s="49"/>
      <c r="N75" s="86"/>
    </row>
    <row r="76" spans="1:14" s="209" customFormat="1" ht="18.75">
      <c r="A76" s="198"/>
      <c r="B76" s="191" t="s">
        <v>211</v>
      </c>
      <c r="C76" s="199"/>
      <c r="D76" s="200"/>
      <c r="E76" s="201"/>
      <c r="F76" s="202"/>
      <c r="G76" s="203"/>
      <c r="H76" s="203"/>
      <c r="I76" s="204"/>
      <c r="J76" s="205"/>
      <c r="K76" s="206"/>
      <c r="L76" s="206">
        <f>SUM(K77:K78)</f>
        <v>150180</v>
      </c>
      <c r="M76" s="207"/>
      <c r="N76" s="208"/>
    </row>
    <row r="77" spans="1:14" ht="18.75">
      <c r="A77" s="10"/>
      <c r="B77" s="73" t="s">
        <v>209</v>
      </c>
      <c r="C77" s="74" t="s">
        <v>0</v>
      </c>
      <c r="D77" s="41">
        <f>350+111</f>
        <v>461</v>
      </c>
      <c r="E77" s="123">
        <v>1</v>
      </c>
      <c r="F77" s="124">
        <v>300</v>
      </c>
      <c r="G77" s="125"/>
      <c r="H77" s="125"/>
      <c r="I77" s="117">
        <f t="shared" ref="I77:I78" si="46">SUM(F77:H77)*E77</f>
        <v>300</v>
      </c>
      <c r="J77" s="48"/>
      <c r="K77" s="47">
        <f t="shared" ref="K77:K78" si="47">D77*I77</f>
        <v>138300</v>
      </c>
      <c r="L77" s="47"/>
      <c r="M77" s="49"/>
      <c r="N77" s="86"/>
    </row>
    <row r="78" spans="1:14" ht="18.75">
      <c r="A78" s="10"/>
      <c r="B78" s="73" t="s">
        <v>210</v>
      </c>
      <c r="C78" s="74" t="s">
        <v>0</v>
      </c>
      <c r="D78" s="41">
        <v>297</v>
      </c>
      <c r="E78" s="123">
        <v>1</v>
      </c>
      <c r="F78" s="124">
        <v>40</v>
      </c>
      <c r="G78" s="125"/>
      <c r="H78" s="125"/>
      <c r="I78" s="117">
        <f t="shared" si="46"/>
        <v>40</v>
      </c>
      <c r="J78" s="48"/>
      <c r="K78" s="47">
        <f t="shared" si="47"/>
        <v>11880</v>
      </c>
      <c r="L78" s="47"/>
      <c r="M78" s="49"/>
      <c r="N78" s="86"/>
    </row>
    <row r="79" spans="1:14" s="209" customFormat="1" ht="18.75">
      <c r="A79" s="198"/>
      <c r="B79" s="191" t="s">
        <v>212</v>
      </c>
      <c r="C79" s="199"/>
      <c r="D79" s="200"/>
      <c r="E79" s="201"/>
      <c r="F79" s="202"/>
      <c r="G79" s="203"/>
      <c r="H79" s="203"/>
      <c r="I79" s="204"/>
      <c r="J79" s="205"/>
      <c r="K79" s="206"/>
      <c r="L79" s="206">
        <f>SUM(K80:K81)</f>
        <v>108520</v>
      </c>
      <c r="M79" s="207"/>
      <c r="N79" s="208"/>
    </row>
    <row r="80" spans="1:14" ht="18.75">
      <c r="A80" s="10"/>
      <c r="B80" s="73" t="s">
        <v>209</v>
      </c>
      <c r="C80" s="74" t="s">
        <v>0</v>
      </c>
      <c r="D80" s="41">
        <f>316</f>
        <v>316</v>
      </c>
      <c r="E80" s="123">
        <v>1</v>
      </c>
      <c r="F80" s="124">
        <v>300</v>
      </c>
      <c r="G80" s="125"/>
      <c r="H80" s="125"/>
      <c r="I80" s="117">
        <f t="shared" ref="I80:I81" si="48">SUM(F80:H80)*E80</f>
        <v>300</v>
      </c>
      <c r="J80" s="48"/>
      <c r="K80" s="47">
        <f t="shared" ref="K80:K81" si="49">D80*I80</f>
        <v>94800</v>
      </c>
      <c r="L80" s="47"/>
      <c r="M80" s="49"/>
      <c r="N80" s="86"/>
    </row>
    <row r="81" spans="1:14" ht="18.75">
      <c r="A81" s="10"/>
      <c r="B81" s="73" t="s">
        <v>210</v>
      </c>
      <c r="C81" s="74" t="s">
        <v>0</v>
      </c>
      <c r="D81" s="41">
        <v>343</v>
      </c>
      <c r="E81" s="123">
        <v>1</v>
      </c>
      <c r="F81" s="124">
        <v>40</v>
      </c>
      <c r="G81" s="125"/>
      <c r="H81" s="125"/>
      <c r="I81" s="117">
        <f t="shared" si="48"/>
        <v>40</v>
      </c>
      <c r="J81" s="48"/>
      <c r="K81" s="47">
        <f t="shared" si="49"/>
        <v>13720</v>
      </c>
      <c r="L81" s="47"/>
      <c r="M81" s="49"/>
      <c r="N81" s="86"/>
    </row>
    <row r="82" spans="1:14" s="209" customFormat="1" ht="18.75">
      <c r="A82" s="198"/>
      <c r="B82" s="191" t="s">
        <v>213</v>
      </c>
      <c r="C82" s="199"/>
      <c r="D82" s="200"/>
      <c r="E82" s="201"/>
      <c r="F82" s="202"/>
      <c r="G82" s="203"/>
      <c r="H82" s="203"/>
      <c r="I82" s="204"/>
      <c r="J82" s="205"/>
      <c r="K82" s="206"/>
      <c r="L82" s="206">
        <f>SUM(K83:K84)</f>
        <v>326620</v>
      </c>
      <c r="M82" s="207"/>
      <c r="N82" s="208"/>
    </row>
    <row r="83" spans="1:14" ht="18.75">
      <c r="A83" s="10"/>
      <c r="B83" s="73" t="s">
        <v>209</v>
      </c>
      <c r="C83" s="74" t="s">
        <v>0</v>
      </c>
      <c r="D83" s="41">
        <f>510+284+163</f>
        <v>957</v>
      </c>
      <c r="E83" s="123">
        <v>1</v>
      </c>
      <c r="F83" s="124">
        <v>300</v>
      </c>
      <c r="G83" s="125"/>
      <c r="H83" s="125"/>
      <c r="I83" s="117">
        <f t="shared" ref="I83:I84" si="50">SUM(F83:H83)*E83</f>
        <v>300</v>
      </c>
      <c r="J83" s="48"/>
      <c r="K83" s="47">
        <f t="shared" ref="K83:K84" si="51">D83*I83</f>
        <v>287100</v>
      </c>
      <c r="L83" s="47"/>
      <c r="M83" s="49"/>
      <c r="N83" s="86"/>
    </row>
    <row r="84" spans="1:14" ht="18.75">
      <c r="A84" s="10"/>
      <c r="B84" s="73" t="s">
        <v>210</v>
      </c>
      <c r="C84" s="74" t="s">
        <v>0</v>
      </c>
      <c r="D84" s="41">
        <v>988</v>
      </c>
      <c r="E84" s="123">
        <v>1</v>
      </c>
      <c r="F84" s="124">
        <v>40</v>
      </c>
      <c r="G84" s="125"/>
      <c r="H84" s="125"/>
      <c r="I84" s="117">
        <f t="shared" si="50"/>
        <v>40</v>
      </c>
      <c r="J84" s="48"/>
      <c r="K84" s="47">
        <f t="shared" si="51"/>
        <v>39520</v>
      </c>
      <c r="L84" s="47"/>
      <c r="M84" s="49"/>
      <c r="N84" s="86"/>
    </row>
    <row r="85" spans="1:14" s="209" customFormat="1" ht="18.75">
      <c r="A85" s="198"/>
      <c r="B85" s="191" t="s">
        <v>214</v>
      </c>
      <c r="C85" s="199"/>
      <c r="D85" s="200"/>
      <c r="E85" s="201"/>
      <c r="F85" s="202"/>
      <c r="G85" s="203"/>
      <c r="H85" s="203"/>
      <c r="I85" s="204"/>
      <c r="J85" s="205"/>
      <c r="K85" s="206"/>
      <c r="L85" s="206">
        <f>SUM(K86:K87)</f>
        <v>115440</v>
      </c>
      <c r="M85" s="207"/>
      <c r="N85" s="208"/>
    </row>
    <row r="86" spans="1:14" ht="18.75">
      <c r="A86" s="10"/>
      <c r="B86" s="73" t="s">
        <v>209</v>
      </c>
      <c r="C86" s="74" t="s">
        <v>0</v>
      </c>
      <c r="D86" s="41">
        <v>372</v>
      </c>
      <c r="E86" s="123">
        <v>1</v>
      </c>
      <c r="F86" s="124">
        <v>300</v>
      </c>
      <c r="G86" s="125"/>
      <c r="H86" s="125"/>
      <c r="I86" s="117">
        <f t="shared" ref="I86:I87" si="52">SUM(F86:H86)*E86</f>
        <v>300</v>
      </c>
      <c r="J86" s="48"/>
      <c r="K86" s="47">
        <f t="shared" ref="K86:K87" si="53">D86*I86</f>
        <v>111600</v>
      </c>
      <c r="L86" s="47"/>
      <c r="M86" s="49"/>
      <c r="N86" s="86"/>
    </row>
    <row r="87" spans="1:14" ht="18.75">
      <c r="A87" s="10"/>
      <c r="B87" s="73" t="s">
        <v>210</v>
      </c>
      <c r="C87" s="74" t="s">
        <v>0</v>
      </c>
      <c r="D87" s="41">
        <v>96</v>
      </c>
      <c r="E87" s="123">
        <v>1</v>
      </c>
      <c r="F87" s="124">
        <v>40</v>
      </c>
      <c r="G87" s="125"/>
      <c r="H87" s="125"/>
      <c r="I87" s="117">
        <f t="shared" si="52"/>
        <v>40</v>
      </c>
      <c r="J87" s="48"/>
      <c r="K87" s="47">
        <f t="shared" si="53"/>
        <v>3840</v>
      </c>
      <c r="L87" s="47"/>
      <c r="M87" s="49"/>
      <c r="N87" s="86"/>
    </row>
    <row r="88" spans="1:14" s="209" customFormat="1" ht="18.75">
      <c r="A88" s="198"/>
      <c r="B88" s="191" t="s">
        <v>215</v>
      </c>
      <c r="C88" s="199"/>
      <c r="D88" s="200"/>
      <c r="E88" s="201"/>
      <c r="F88" s="202"/>
      <c r="G88" s="203"/>
      <c r="H88" s="203"/>
      <c r="I88" s="204"/>
      <c r="J88" s="205"/>
      <c r="K88" s="206"/>
      <c r="L88" s="206">
        <f>SUM(K89:K90)</f>
        <v>227000</v>
      </c>
      <c r="M88" s="207"/>
      <c r="N88" s="208"/>
    </row>
    <row r="89" spans="1:14" ht="18.75">
      <c r="A89" s="10"/>
      <c r="B89" s="73" t="s">
        <v>209</v>
      </c>
      <c r="C89" s="74" t="s">
        <v>0</v>
      </c>
      <c r="D89" s="41">
        <f>390+249+99</f>
        <v>738</v>
      </c>
      <c r="E89" s="123">
        <v>1</v>
      </c>
      <c r="F89" s="124">
        <v>300</v>
      </c>
      <c r="G89" s="125"/>
      <c r="H89" s="125"/>
      <c r="I89" s="117">
        <f t="shared" ref="I89:I90" si="54">SUM(F89:H89)*E89</f>
        <v>300</v>
      </c>
      <c r="J89" s="48"/>
      <c r="K89" s="47">
        <f t="shared" ref="K89:K90" si="55">D89*I89</f>
        <v>221400</v>
      </c>
      <c r="L89" s="47"/>
      <c r="M89" s="49"/>
      <c r="N89" s="86"/>
    </row>
    <row r="90" spans="1:14" ht="18.75">
      <c r="A90" s="10"/>
      <c r="B90" s="73" t="s">
        <v>210</v>
      </c>
      <c r="C90" s="74" t="s">
        <v>0</v>
      </c>
      <c r="D90" s="41">
        <v>140</v>
      </c>
      <c r="E90" s="123">
        <v>1</v>
      </c>
      <c r="F90" s="124">
        <v>40</v>
      </c>
      <c r="G90" s="125"/>
      <c r="H90" s="125"/>
      <c r="I90" s="117">
        <f t="shared" si="54"/>
        <v>40</v>
      </c>
      <c r="J90" s="48"/>
      <c r="K90" s="47">
        <f t="shared" si="55"/>
        <v>5600</v>
      </c>
      <c r="L90" s="47"/>
      <c r="M90" s="49"/>
      <c r="N90" s="86"/>
    </row>
    <row r="91" spans="1:14" s="209" customFormat="1" ht="18.75">
      <c r="A91" s="198"/>
      <c r="B91" s="191" t="s">
        <v>216</v>
      </c>
      <c r="C91" s="199"/>
      <c r="D91" s="200"/>
      <c r="E91" s="201"/>
      <c r="F91" s="202"/>
      <c r="G91" s="203"/>
      <c r="H91" s="203"/>
      <c r="I91" s="204"/>
      <c r="J91" s="205"/>
      <c r="K91" s="206"/>
      <c r="L91" s="206">
        <f>SUM(K92:K93)</f>
        <v>221940</v>
      </c>
      <c r="M91" s="207"/>
      <c r="N91" s="208"/>
    </row>
    <row r="92" spans="1:14" ht="18.75">
      <c r="A92" s="10"/>
      <c r="B92" s="73" t="s">
        <v>209</v>
      </c>
      <c r="C92" s="74" t="s">
        <v>0</v>
      </c>
      <c r="D92" s="41">
        <f>525+109+67</f>
        <v>701</v>
      </c>
      <c r="E92" s="123">
        <v>1</v>
      </c>
      <c r="F92" s="124">
        <v>300</v>
      </c>
      <c r="G92" s="125"/>
      <c r="H92" s="125"/>
      <c r="I92" s="117">
        <f t="shared" ref="I92:I93" si="56">SUM(F92:H92)*E92</f>
        <v>300</v>
      </c>
      <c r="J92" s="48"/>
      <c r="K92" s="47">
        <f t="shared" ref="K92:K93" si="57">D92*I92</f>
        <v>210300</v>
      </c>
      <c r="L92" s="47"/>
      <c r="M92" s="49"/>
      <c r="N92" s="86"/>
    </row>
    <row r="93" spans="1:14" ht="18.75">
      <c r="A93" s="10"/>
      <c r="B93" s="73" t="s">
        <v>210</v>
      </c>
      <c r="C93" s="74" t="s">
        <v>0</v>
      </c>
      <c r="D93" s="41">
        <v>291</v>
      </c>
      <c r="E93" s="123">
        <v>1</v>
      </c>
      <c r="F93" s="124">
        <v>40</v>
      </c>
      <c r="G93" s="125"/>
      <c r="H93" s="125"/>
      <c r="I93" s="117">
        <f t="shared" si="56"/>
        <v>40</v>
      </c>
      <c r="J93" s="48"/>
      <c r="K93" s="47">
        <f t="shared" si="57"/>
        <v>11640</v>
      </c>
      <c r="L93" s="47"/>
      <c r="M93" s="49"/>
      <c r="N93" s="86"/>
    </row>
    <row r="94" spans="1:14" s="209" customFormat="1" ht="18.75">
      <c r="A94" s="198"/>
      <c r="B94" s="191" t="s">
        <v>217</v>
      </c>
      <c r="C94" s="199"/>
      <c r="D94" s="200"/>
      <c r="E94" s="201"/>
      <c r="F94" s="202"/>
      <c r="G94" s="203"/>
      <c r="H94" s="203"/>
      <c r="I94" s="204"/>
      <c r="J94" s="205"/>
      <c r="K94" s="206"/>
      <c r="L94" s="206">
        <f>SUM(K95:K96)</f>
        <v>314000</v>
      </c>
      <c r="M94" s="207"/>
      <c r="N94" s="208"/>
    </row>
    <row r="95" spans="1:14" ht="18.75">
      <c r="A95" s="10"/>
      <c r="B95" s="73" t="s">
        <v>209</v>
      </c>
      <c r="C95" s="74" t="s">
        <v>0</v>
      </c>
      <c r="D95" s="41">
        <f>465+235+200</f>
        <v>900</v>
      </c>
      <c r="E95" s="123">
        <v>1</v>
      </c>
      <c r="F95" s="124">
        <v>300</v>
      </c>
      <c r="G95" s="125"/>
      <c r="H95" s="125"/>
      <c r="I95" s="117">
        <f t="shared" ref="I95:I96" si="58">SUM(F95:H95)*E95</f>
        <v>300</v>
      </c>
      <c r="J95" s="48"/>
      <c r="K95" s="47">
        <f t="shared" ref="K95:K96" si="59">D95*I95</f>
        <v>270000</v>
      </c>
      <c r="L95" s="47"/>
      <c r="M95" s="49"/>
      <c r="N95" s="86"/>
    </row>
    <row r="96" spans="1:14" ht="18.75">
      <c r="A96" s="10"/>
      <c r="B96" s="73" t="s">
        <v>210</v>
      </c>
      <c r="C96" s="74" t="s">
        <v>0</v>
      </c>
      <c r="D96" s="41">
        <v>1100</v>
      </c>
      <c r="E96" s="123">
        <v>1</v>
      </c>
      <c r="F96" s="124">
        <v>40</v>
      </c>
      <c r="G96" s="125"/>
      <c r="H96" s="125"/>
      <c r="I96" s="117">
        <f t="shared" si="58"/>
        <v>40</v>
      </c>
      <c r="J96" s="48"/>
      <c r="K96" s="47">
        <f t="shared" si="59"/>
        <v>44000</v>
      </c>
      <c r="L96" s="47"/>
      <c r="M96" s="49"/>
      <c r="N96" s="86"/>
    </row>
    <row r="97" spans="1:14" s="209" customFormat="1" ht="18.75">
      <c r="A97" s="198"/>
      <c r="B97" s="191" t="s">
        <v>218</v>
      </c>
      <c r="C97" s="199"/>
      <c r="D97" s="200"/>
      <c r="E97" s="201"/>
      <c r="F97" s="202"/>
      <c r="G97" s="203"/>
      <c r="H97" s="203"/>
      <c r="I97" s="204"/>
      <c r="J97" s="205"/>
      <c r="K97" s="206"/>
      <c r="L97" s="206">
        <f>SUM(K98:K99)</f>
        <v>119900</v>
      </c>
      <c r="M97" s="207"/>
      <c r="N97" s="208"/>
    </row>
    <row r="98" spans="1:14" ht="18.75">
      <c r="A98" s="10"/>
      <c r="B98" s="73" t="s">
        <v>209</v>
      </c>
      <c r="C98" s="74" t="s">
        <v>0</v>
      </c>
      <c r="D98" s="41">
        <f>236+101</f>
        <v>337</v>
      </c>
      <c r="E98" s="123">
        <v>1</v>
      </c>
      <c r="F98" s="124">
        <v>300</v>
      </c>
      <c r="G98" s="125"/>
      <c r="H98" s="125"/>
      <c r="I98" s="117">
        <f t="shared" ref="I98:I99" si="60">SUM(F98:H98)*E98</f>
        <v>300</v>
      </c>
      <c r="J98" s="48"/>
      <c r="K98" s="47">
        <f t="shared" ref="K98:K99" si="61">D98*I98</f>
        <v>101100</v>
      </c>
      <c r="L98" s="47"/>
      <c r="M98" s="49"/>
      <c r="N98" s="86"/>
    </row>
    <row r="99" spans="1:14" ht="18.75">
      <c r="A99" s="10"/>
      <c r="B99" s="73" t="s">
        <v>210</v>
      </c>
      <c r="C99" s="74" t="s">
        <v>0</v>
      </c>
      <c r="D99" s="41">
        <v>470</v>
      </c>
      <c r="E99" s="123">
        <v>1</v>
      </c>
      <c r="F99" s="124">
        <v>40</v>
      </c>
      <c r="G99" s="125"/>
      <c r="H99" s="125"/>
      <c r="I99" s="117">
        <f t="shared" si="60"/>
        <v>40</v>
      </c>
      <c r="J99" s="48"/>
      <c r="K99" s="47">
        <f t="shared" si="61"/>
        <v>18800</v>
      </c>
      <c r="L99" s="47"/>
      <c r="M99" s="49"/>
      <c r="N99" s="86"/>
    </row>
    <row r="100" spans="1:14" s="209" customFormat="1" ht="18.75">
      <c r="A100" s="198"/>
      <c r="B100" s="191" t="s">
        <v>219</v>
      </c>
      <c r="C100" s="199"/>
      <c r="D100" s="200"/>
      <c r="E100" s="201"/>
      <c r="F100" s="202"/>
      <c r="G100" s="203"/>
      <c r="H100" s="203"/>
      <c r="I100" s="204"/>
      <c r="J100" s="205"/>
      <c r="K100" s="206"/>
      <c r="L100" s="206">
        <f>SUM(K101:K102)</f>
        <v>301820</v>
      </c>
      <c r="M100" s="207"/>
      <c r="N100" s="208"/>
    </row>
    <row r="101" spans="1:14" ht="18.75">
      <c r="A101" s="10"/>
      <c r="B101" s="73" t="s">
        <v>209</v>
      </c>
      <c r="C101" s="74" t="s">
        <v>0</v>
      </c>
      <c r="D101" s="41">
        <f>386+340+197</f>
        <v>923</v>
      </c>
      <c r="E101" s="123">
        <v>1</v>
      </c>
      <c r="F101" s="124">
        <v>300</v>
      </c>
      <c r="G101" s="125"/>
      <c r="H101" s="125"/>
      <c r="I101" s="117">
        <f t="shared" ref="I101:I102" si="62">SUM(F101:H101)*E101</f>
        <v>300</v>
      </c>
      <c r="J101" s="48"/>
      <c r="K101" s="47">
        <f t="shared" ref="K101:K102" si="63">D101*I101</f>
        <v>276900</v>
      </c>
      <c r="L101" s="47"/>
      <c r="M101" s="49"/>
      <c r="N101" s="86"/>
    </row>
    <row r="102" spans="1:14" ht="18.75">
      <c r="A102" s="10"/>
      <c r="B102" s="73" t="s">
        <v>210</v>
      </c>
      <c r="C102" s="74" t="s">
        <v>0</v>
      </c>
      <c r="D102" s="41">
        <v>623</v>
      </c>
      <c r="E102" s="123">
        <v>1</v>
      </c>
      <c r="F102" s="124">
        <v>40</v>
      </c>
      <c r="G102" s="125"/>
      <c r="H102" s="125"/>
      <c r="I102" s="117">
        <f t="shared" si="62"/>
        <v>40</v>
      </c>
      <c r="J102" s="48"/>
      <c r="K102" s="47">
        <f t="shared" si="63"/>
        <v>24920</v>
      </c>
      <c r="L102" s="47"/>
      <c r="M102" s="49"/>
      <c r="N102" s="86"/>
    </row>
    <row r="103" spans="1:14" s="209" customFormat="1" ht="18.75">
      <c r="A103" s="198"/>
      <c r="B103" s="191" t="s">
        <v>220</v>
      </c>
      <c r="C103" s="199"/>
      <c r="D103" s="200"/>
      <c r="E103" s="201"/>
      <c r="F103" s="202"/>
      <c r="G103" s="203"/>
      <c r="H103" s="203"/>
      <c r="I103" s="204"/>
      <c r="J103" s="205"/>
      <c r="K103" s="206"/>
      <c r="L103" s="206">
        <f>SUM(K104:K105)</f>
        <v>201340</v>
      </c>
      <c r="M103" s="207"/>
      <c r="N103" s="208"/>
    </row>
    <row r="104" spans="1:14" ht="18.75">
      <c r="A104" s="10"/>
      <c r="B104" s="73" t="s">
        <v>209</v>
      </c>
      <c r="C104" s="74" t="s">
        <v>0</v>
      </c>
      <c r="D104" s="41">
        <f>248+237+112</f>
        <v>597</v>
      </c>
      <c r="E104" s="123">
        <v>1</v>
      </c>
      <c r="F104" s="124">
        <v>300</v>
      </c>
      <c r="G104" s="125"/>
      <c r="H104" s="125"/>
      <c r="I104" s="117">
        <f t="shared" ref="I104:I105" si="64">SUM(F104:H104)*E104</f>
        <v>300</v>
      </c>
      <c r="J104" s="48"/>
      <c r="K104" s="47">
        <f t="shared" ref="K104:K105" si="65">D104*I104</f>
        <v>179100</v>
      </c>
      <c r="L104" s="47"/>
      <c r="M104" s="49"/>
      <c r="N104" s="86"/>
    </row>
    <row r="105" spans="1:14" ht="18.75">
      <c r="A105" s="10"/>
      <c r="B105" s="73" t="s">
        <v>210</v>
      </c>
      <c r="C105" s="74" t="s">
        <v>0</v>
      </c>
      <c r="D105" s="41">
        <v>556</v>
      </c>
      <c r="E105" s="123">
        <v>1</v>
      </c>
      <c r="F105" s="124">
        <v>40</v>
      </c>
      <c r="G105" s="125"/>
      <c r="H105" s="125"/>
      <c r="I105" s="117">
        <f t="shared" si="64"/>
        <v>40</v>
      </c>
      <c r="J105" s="48"/>
      <c r="K105" s="47">
        <f t="shared" si="65"/>
        <v>22240</v>
      </c>
      <c r="L105" s="47"/>
      <c r="M105" s="49"/>
      <c r="N105" s="86"/>
    </row>
    <row r="106" spans="1:14" s="209" customFormat="1" ht="18.75">
      <c r="A106" s="198"/>
      <c r="B106" s="191" t="s">
        <v>221</v>
      </c>
      <c r="C106" s="199"/>
      <c r="D106" s="200"/>
      <c r="E106" s="201"/>
      <c r="F106" s="202"/>
      <c r="G106" s="203"/>
      <c r="H106" s="203"/>
      <c r="I106" s="204"/>
      <c r="J106" s="205"/>
      <c r="K106" s="206"/>
      <c r="L106" s="206">
        <f>SUM(K107:K108)</f>
        <v>200602</v>
      </c>
      <c r="M106" s="207"/>
      <c r="N106" s="208"/>
    </row>
    <row r="107" spans="1:14" ht="18.75">
      <c r="A107" s="10"/>
      <c r="B107" s="73" t="s">
        <v>209</v>
      </c>
      <c r="C107" s="74" t="s">
        <v>0</v>
      </c>
      <c r="D107" s="41">
        <f>510+62.7</f>
        <v>572.70000000000005</v>
      </c>
      <c r="E107" s="123">
        <v>1</v>
      </c>
      <c r="F107" s="124">
        <v>300</v>
      </c>
      <c r="G107" s="125"/>
      <c r="H107" s="125"/>
      <c r="I107" s="117">
        <f t="shared" ref="I107:I108" si="66">SUM(F107:H107)*E107</f>
        <v>300</v>
      </c>
      <c r="J107" s="48"/>
      <c r="K107" s="47">
        <f t="shared" ref="K107:K108" si="67">D107*I107</f>
        <v>171810</v>
      </c>
      <c r="L107" s="47"/>
      <c r="M107" s="49"/>
      <c r="N107" s="86"/>
    </row>
    <row r="108" spans="1:14" ht="18.75">
      <c r="A108" s="10"/>
      <c r="B108" s="73" t="s">
        <v>210</v>
      </c>
      <c r="C108" s="74" t="s">
        <v>0</v>
      </c>
      <c r="D108" s="41">
        <v>719.8</v>
      </c>
      <c r="E108" s="123">
        <v>1</v>
      </c>
      <c r="F108" s="124">
        <v>40</v>
      </c>
      <c r="G108" s="125"/>
      <c r="H108" s="125"/>
      <c r="I108" s="117">
        <f t="shared" si="66"/>
        <v>40</v>
      </c>
      <c r="J108" s="48"/>
      <c r="K108" s="47">
        <f t="shared" si="67"/>
        <v>28792</v>
      </c>
      <c r="L108" s="47"/>
      <c r="M108" s="49"/>
      <c r="N108" s="86"/>
    </row>
    <row r="109" spans="1:14" s="209" customFormat="1" ht="18.75">
      <c r="A109" s="198"/>
      <c r="B109" s="191" t="s">
        <v>222</v>
      </c>
      <c r="C109" s="199"/>
      <c r="D109" s="200"/>
      <c r="E109" s="201"/>
      <c r="F109" s="202"/>
      <c r="G109" s="203"/>
      <c r="H109" s="203"/>
      <c r="I109" s="204"/>
      <c r="J109" s="205"/>
      <c r="K109" s="206"/>
      <c r="L109" s="206">
        <f>SUM(K110:K111)</f>
        <v>197600</v>
      </c>
      <c r="M109" s="207"/>
      <c r="N109" s="208"/>
    </row>
    <row r="110" spans="1:14" ht="18.75">
      <c r="A110" s="10"/>
      <c r="B110" s="73" t="s">
        <v>209</v>
      </c>
      <c r="C110" s="74" t="s">
        <v>0</v>
      </c>
      <c r="D110" s="41">
        <f>473+111</f>
        <v>584</v>
      </c>
      <c r="E110" s="123">
        <v>1</v>
      </c>
      <c r="F110" s="124">
        <v>300</v>
      </c>
      <c r="G110" s="125"/>
      <c r="H110" s="125"/>
      <c r="I110" s="117">
        <f t="shared" ref="I110:I111" si="68">SUM(F110:H110)*E110</f>
        <v>300</v>
      </c>
      <c r="J110" s="48"/>
      <c r="K110" s="47">
        <f t="shared" ref="K110:K111" si="69">D110*I110</f>
        <v>175200</v>
      </c>
      <c r="L110" s="47"/>
      <c r="M110" s="49"/>
      <c r="N110" s="86"/>
    </row>
    <row r="111" spans="1:14" ht="18.75">
      <c r="A111" s="10"/>
      <c r="B111" s="73" t="s">
        <v>210</v>
      </c>
      <c r="C111" s="74" t="s">
        <v>0</v>
      </c>
      <c r="D111" s="41">
        <v>560</v>
      </c>
      <c r="E111" s="123">
        <v>1</v>
      </c>
      <c r="F111" s="124">
        <v>40</v>
      </c>
      <c r="G111" s="125"/>
      <c r="H111" s="125"/>
      <c r="I111" s="117">
        <f t="shared" si="68"/>
        <v>40</v>
      </c>
      <c r="J111" s="48"/>
      <c r="K111" s="47">
        <f t="shared" si="69"/>
        <v>22400</v>
      </c>
      <c r="L111" s="47"/>
      <c r="M111" s="49"/>
      <c r="N111" s="86"/>
    </row>
    <row r="112" spans="1:14" s="209" customFormat="1" ht="18.75">
      <c r="A112" s="198"/>
      <c r="B112" s="191" t="s">
        <v>223</v>
      </c>
      <c r="C112" s="199"/>
      <c r="D112" s="200"/>
      <c r="E112" s="201"/>
      <c r="F112" s="202"/>
      <c r="G112" s="203"/>
      <c r="H112" s="203"/>
      <c r="I112" s="204"/>
      <c r="J112" s="205"/>
      <c r="K112" s="206"/>
      <c r="L112" s="206">
        <f>SUM(K113:K114)</f>
        <v>553100</v>
      </c>
      <c r="M112" s="207"/>
      <c r="N112" s="208"/>
    </row>
    <row r="113" spans="1:14" ht="18.75">
      <c r="A113" s="10"/>
      <c r="B113" s="73" t="s">
        <v>209</v>
      </c>
      <c r="C113" s="74" t="s">
        <v>0</v>
      </c>
      <c r="D113" s="41">
        <f>475+695+515</f>
        <v>1685</v>
      </c>
      <c r="E113" s="123">
        <v>1</v>
      </c>
      <c r="F113" s="124">
        <v>300</v>
      </c>
      <c r="G113" s="125"/>
      <c r="H113" s="125"/>
      <c r="I113" s="117">
        <f t="shared" ref="I113:I114" si="70">SUM(F113:H113)*E113</f>
        <v>300</v>
      </c>
      <c r="J113" s="48"/>
      <c r="K113" s="47">
        <f t="shared" ref="K113:K114" si="71">D113*I113</f>
        <v>505500</v>
      </c>
      <c r="L113" s="47"/>
      <c r="M113" s="49"/>
      <c r="N113" s="86"/>
    </row>
    <row r="114" spans="1:14" ht="18.75">
      <c r="A114" s="10"/>
      <c r="B114" s="73" t="s">
        <v>210</v>
      </c>
      <c r="C114" s="74" t="s">
        <v>0</v>
      </c>
      <c r="D114" s="41">
        <v>1190</v>
      </c>
      <c r="E114" s="123">
        <v>1</v>
      </c>
      <c r="F114" s="124">
        <v>40</v>
      </c>
      <c r="G114" s="125"/>
      <c r="H114" s="125"/>
      <c r="I114" s="117">
        <f t="shared" si="70"/>
        <v>40</v>
      </c>
      <c r="J114" s="48"/>
      <c r="K114" s="47">
        <f t="shared" si="71"/>
        <v>47600</v>
      </c>
      <c r="L114" s="47"/>
      <c r="M114" s="49"/>
      <c r="N114" s="86"/>
    </row>
    <row r="115" spans="1:14" s="209" customFormat="1" ht="18.75">
      <c r="A115" s="198"/>
      <c r="B115" s="191" t="s">
        <v>224</v>
      </c>
      <c r="C115" s="199"/>
      <c r="D115" s="200"/>
      <c r="E115" s="201"/>
      <c r="F115" s="202"/>
      <c r="G115" s="203"/>
      <c r="H115" s="203"/>
      <c r="I115" s="204"/>
      <c r="J115" s="205"/>
      <c r="K115" s="206"/>
      <c r="L115" s="206">
        <f>SUM(K116:K117)</f>
        <v>909900</v>
      </c>
      <c r="M115" s="207"/>
      <c r="N115" s="208"/>
    </row>
    <row r="116" spans="1:14" ht="18.75">
      <c r="A116" s="10"/>
      <c r="B116" s="73" t="s">
        <v>209</v>
      </c>
      <c r="C116" s="74" t="s">
        <v>0</v>
      </c>
      <c r="D116" s="41">
        <f>720+1708+405</f>
        <v>2833</v>
      </c>
      <c r="E116" s="123">
        <v>1</v>
      </c>
      <c r="F116" s="124">
        <v>300</v>
      </c>
      <c r="G116" s="125"/>
      <c r="H116" s="125"/>
      <c r="I116" s="117">
        <f t="shared" ref="I116:I117" si="72">SUM(F116:H116)*E116</f>
        <v>300</v>
      </c>
      <c r="J116" s="48"/>
      <c r="K116" s="47">
        <f t="shared" ref="K116:K117" si="73">D116*I116</f>
        <v>849900</v>
      </c>
      <c r="L116" s="47"/>
      <c r="M116" s="49"/>
      <c r="N116" s="86"/>
    </row>
    <row r="117" spans="1:14" ht="18.75">
      <c r="A117" s="10"/>
      <c r="B117" s="73" t="s">
        <v>210</v>
      </c>
      <c r="C117" s="74" t="s">
        <v>0</v>
      </c>
      <c r="D117" s="41">
        <v>1500</v>
      </c>
      <c r="E117" s="123">
        <v>1</v>
      </c>
      <c r="F117" s="124">
        <v>40</v>
      </c>
      <c r="G117" s="125"/>
      <c r="H117" s="125"/>
      <c r="I117" s="117">
        <f t="shared" si="72"/>
        <v>40</v>
      </c>
      <c r="J117" s="48"/>
      <c r="K117" s="47">
        <f t="shared" si="73"/>
        <v>60000</v>
      </c>
      <c r="L117" s="47"/>
      <c r="M117" s="49"/>
      <c r="N117" s="86"/>
    </row>
    <row r="118" spans="1:14" s="209" customFormat="1" ht="18.75">
      <c r="A118" s="198"/>
      <c r="B118" s="191" t="s">
        <v>225</v>
      </c>
      <c r="C118" s="199"/>
      <c r="D118" s="200"/>
      <c r="E118" s="201"/>
      <c r="F118" s="202"/>
      <c r="G118" s="203"/>
      <c r="H118" s="203"/>
      <c r="I118" s="204"/>
      <c r="J118" s="205"/>
      <c r="K118" s="206"/>
      <c r="L118" s="206">
        <f>SUM(K119:K120)</f>
        <v>247200</v>
      </c>
      <c r="M118" s="207"/>
      <c r="N118" s="208"/>
    </row>
    <row r="119" spans="1:14" ht="18.75">
      <c r="A119" s="10"/>
      <c r="B119" s="73" t="s">
        <v>209</v>
      </c>
      <c r="C119" s="74" t="s">
        <v>0</v>
      </c>
      <c r="D119" s="41">
        <f>431+265+70</f>
        <v>766</v>
      </c>
      <c r="E119" s="123">
        <v>1</v>
      </c>
      <c r="F119" s="124">
        <v>300</v>
      </c>
      <c r="G119" s="125"/>
      <c r="H119" s="125"/>
      <c r="I119" s="117">
        <f t="shared" ref="I119:I120" si="74">SUM(F119:H119)*E119</f>
        <v>300</v>
      </c>
      <c r="J119" s="48"/>
      <c r="K119" s="47">
        <f t="shared" ref="K119:K120" si="75">D119*I119</f>
        <v>229800</v>
      </c>
      <c r="L119" s="47"/>
      <c r="M119" s="49"/>
      <c r="N119" s="86"/>
    </row>
    <row r="120" spans="1:14" ht="18.75">
      <c r="A120" s="10"/>
      <c r="B120" s="73" t="s">
        <v>210</v>
      </c>
      <c r="C120" s="74" t="s">
        <v>0</v>
      </c>
      <c r="D120" s="41">
        <v>435</v>
      </c>
      <c r="E120" s="123">
        <v>1</v>
      </c>
      <c r="F120" s="124">
        <v>40</v>
      </c>
      <c r="G120" s="125"/>
      <c r="H120" s="125"/>
      <c r="I120" s="117">
        <f t="shared" si="74"/>
        <v>40</v>
      </c>
      <c r="J120" s="48"/>
      <c r="K120" s="47">
        <f t="shared" si="75"/>
        <v>17400</v>
      </c>
      <c r="L120" s="47"/>
      <c r="M120" s="49"/>
      <c r="N120" s="86"/>
    </row>
    <row r="121" spans="1:14" s="209" customFormat="1" ht="18.75">
      <c r="A121" s="198"/>
      <c r="B121" s="191" t="s">
        <v>226</v>
      </c>
      <c r="C121" s="199"/>
      <c r="D121" s="200"/>
      <c r="E121" s="201"/>
      <c r="F121" s="202"/>
      <c r="G121" s="203"/>
      <c r="H121" s="203"/>
      <c r="I121" s="204"/>
      <c r="J121" s="205"/>
      <c r="K121" s="206"/>
      <c r="L121" s="206">
        <f>SUM(K122:K123)</f>
        <v>204800</v>
      </c>
      <c r="M121" s="207"/>
      <c r="N121" s="208"/>
    </row>
    <row r="122" spans="1:14" ht="18.75">
      <c r="A122" s="10"/>
      <c r="B122" s="73" t="s">
        <v>209</v>
      </c>
      <c r="C122" s="74" t="s">
        <v>0</v>
      </c>
      <c r="D122" s="41">
        <f>432+44+100</f>
        <v>576</v>
      </c>
      <c r="E122" s="123">
        <v>1</v>
      </c>
      <c r="F122" s="124">
        <v>300</v>
      </c>
      <c r="G122" s="125"/>
      <c r="H122" s="125"/>
      <c r="I122" s="117">
        <f t="shared" ref="I122:I123" si="76">SUM(F122:H122)*E122</f>
        <v>300</v>
      </c>
      <c r="J122" s="48"/>
      <c r="K122" s="47">
        <f t="shared" ref="K122:K123" si="77">D122*I122</f>
        <v>172800</v>
      </c>
      <c r="L122" s="47"/>
      <c r="M122" s="49"/>
      <c r="N122" s="86"/>
    </row>
    <row r="123" spans="1:14" ht="18.75">
      <c r="A123" s="10"/>
      <c r="B123" s="73" t="s">
        <v>210</v>
      </c>
      <c r="C123" s="74" t="s">
        <v>0</v>
      </c>
      <c r="D123" s="41">
        <v>800</v>
      </c>
      <c r="E123" s="123">
        <v>1</v>
      </c>
      <c r="F123" s="124">
        <v>40</v>
      </c>
      <c r="G123" s="125"/>
      <c r="H123" s="125"/>
      <c r="I123" s="117">
        <f t="shared" si="76"/>
        <v>40</v>
      </c>
      <c r="J123" s="48"/>
      <c r="K123" s="47">
        <f t="shared" si="77"/>
        <v>32000</v>
      </c>
      <c r="L123" s="47"/>
      <c r="M123" s="49"/>
      <c r="N123" s="86"/>
    </row>
    <row r="124" spans="1:14" s="209" customFormat="1" ht="18.75">
      <c r="A124" s="198"/>
      <c r="B124" s="191" t="s">
        <v>227</v>
      </c>
      <c r="C124" s="199"/>
      <c r="D124" s="200"/>
      <c r="E124" s="201"/>
      <c r="F124" s="202"/>
      <c r="G124" s="203"/>
      <c r="H124" s="203"/>
      <c r="I124" s="204"/>
      <c r="J124" s="205"/>
      <c r="K124" s="206"/>
      <c r="L124" s="206">
        <f>SUM(K125:K126)</f>
        <v>247500</v>
      </c>
      <c r="M124" s="207"/>
      <c r="N124" s="208"/>
    </row>
    <row r="125" spans="1:14" ht="18.75">
      <c r="A125" s="10"/>
      <c r="B125" s="73" t="s">
        <v>209</v>
      </c>
      <c r="C125" s="74" t="s">
        <v>0</v>
      </c>
      <c r="D125" s="41">
        <f>476+60+209</f>
        <v>745</v>
      </c>
      <c r="E125" s="123">
        <v>1</v>
      </c>
      <c r="F125" s="124">
        <v>300</v>
      </c>
      <c r="G125" s="125"/>
      <c r="H125" s="125"/>
      <c r="I125" s="117">
        <f t="shared" ref="I125:I126" si="78">SUM(F125:H125)*E125</f>
        <v>300</v>
      </c>
      <c r="J125" s="48"/>
      <c r="K125" s="47">
        <f t="shared" ref="K125:K126" si="79">D125*I125</f>
        <v>223500</v>
      </c>
      <c r="L125" s="47"/>
      <c r="M125" s="49"/>
      <c r="N125" s="86"/>
    </row>
    <row r="126" spans="1:14" ht="18.75">
      <c r="A126" s="10"/>
      <c r="B126" s="73" t="s">
        <v>210</v>
      </c>
      <c r="C126" s="74" t="s">
        <v>0</v>
      </c>
      <c r="D126" s="41">
        <v>600</v>
      </c>
      <c r="E126" s="123">
        <v>1</v>
      </c>
      <c r="F126" s="124">
        <v>40</v>
      </c>
      <c r="G126" s="125"/>
      <c r="H126" s="125"/>
      <c r="I126" s="117">
        <f t="shared" si="78"/>
        <v>40</v>
      </c>
      <c r="J126" s="48"/>
      <c r="K126" s="47">
        <f t="shared" si="79"/>
        <v>24000</v>
      </c>
      <c r="L126" s="47"/>
      <c r="M126" s="49"/>
      <c r="N126" s="86"/>
    </row>
    <row r="127" spans="1:14" s="209" customFormat="1" ht="18.75">
      <c r="A127" s="198"/>
      <c r="B127" s="191" t="s">
        <v>228</v>
      </c>
      <c r="C127" s="199"/>
      <c r="D127" s="200"/>
      <c r="E127" s="201"/>
      <c r="F127" s="202"/>
      <c r="G127" s="203"/>
      <c r="H127" s="203"/>
      <c r="I127" s="204"/>
      <c r="J127" s="205"/>
      <c r="K127" s="206"/>
      <c r="L127" s="206">
        <f>SUM(K128:K129)</f>
        <v>274200</v>
      </c>
      <c r="M127" s="207"/>
      <c r="N127" s="208"/>
    </row>
    <row r="128" spans="1:14" ht="18.75">
      <c r="A128" s="10"/>
      <c r="B128" s="73" t="s">
        <v>209</v>
      </c>
      <c r="C128" s="74" t="s">
        <v>0</v>
      </c>
      <c r="D128" s="41">
        <f>335+370+165</f>
        <v>870</v>
      </c>
      <c r="E128" s="123">
        <v>1</v>
      </c>
      <c r="F128" s="124">
        <v>300</v>
      </c>
      <c r="G128" s="125"/>
      <c r="H128" s="125"/>
      <c r="I128" s="117">
        <f t="shared" ref="I128:I129" si="80">SUM(F128:H128)*E128</f>
        <v>300</v>
      </c>
      <c r="J128" s="48"/>
      <c r="K128" s="47">
        <f t="shared" ref="K128:K129" si="81">D128*I128</f>
        <v>261000</v>
      </c>
      <c r="L128" s="47"/>
      <c r="M128" s="49"/>
      <c r="N128" s="86"/>
    </row>
    <row r="129" spans="1:14" ht="18.75">
      <c r="A129" s="10"/>
      <c r="B129" s="73" t="s">
        <v>210</v>
      </c>
      <c r="C129" s="74" t="s">
        <v>0</v>
      </c>
      <c r="D129" s="41">
        <v>330</v>
      </c>
      <c r="E129" s="123">
        <v>1</v>
      </c>
      <c r="F129" s="124">
        <v>40</v>
      </c>
      <c r="G129" s="125"/>
      <c r="H129" s="125"/>
      <c r="I129" s="117">
        <f t="shared" si="80"/>
        <v>40</v>
      </c>
      <c r="J129" s="48"/>
      <c r="K129" s="47">
        <f t="shared" si="81"/>
        <v>13200</v>
      </c>
      <c r="L129" s="47"/>
      <c r="M129" s="49"/>
      <c r="N129" s="86"/>
    </row>
    <row r="130" spans="1:14" s="209" customFormat="1" ht="18.75">
      <c r="A130" s="198"/>
      <c r="B130" s="191" t="s">
        <v>229</v>
      </c>
      <c r="C130" s="199"/>
      <c r="D130" s="200"/>
      <c r="E130" s="201"/>
      <c r="F130" s="202"/>
      <c r="G130" s="203"/>
      <c r="H130" s="203"/>
      <c r="I130" s="204"/>
      <c r="J130" s="205"/>
      <c r="K130" s="206"/>
      <c r="L130" s="206">
        <f>SUM(K131:K132)</f>
        <v>150200</v>
      </c>
      <c r="M130" s="207"/>
      <c r="N130" s="208"/>
    </row>
    <row r="131" spans="1:14" ht="18.75">
      <c r="A131" s="10"/>
      <c r="B131" s="73" t="s">
        <v>209</v>
      </c>
      <c r="C131" s="74" t="s">
        <v>0</v>
      </c>
      <c r="D131" s="41">
        <f>470</f>
        <v>470</v>
      </c>
      <c r="E131" s="123">
        <v>1</v>
      </c>
      <c r="F131" s="124">
        <v>300</v>
      </c>
      <c r="G131" s="125"/>
      <c r="H131" s="125"/>
      <c r="I131" s="117">
        <f t="shared" ref="I131:I132" si="82">SUM(F131:H131)*E131</f>
        <v>300</v>
      </c>
      <c r="J131" s="48"/>
      <c r="K131" s="47">
        <f t="shared" ref="K131:K132" si="83">D131*I131</f>
        <v>141000</v>
      </c>
      <c r="L131" s="47"/>
      <c r="M131" s="49"/>
      <c r="N131" s="86"/>
    </row>
    <row r="132" spans="1:14" ht="18.75">
      <c r="A132" s="10"/>
      <c r="B132" s="73" t="s">
        <v>210</v>
      </c>
      <c r="C132" s="74" t="s">
        <v>0</v>
      </c>
      <c r="D132" s="41">
        <v>230</v>
      </c>
      <c r="E132" s="123">
        <v>1</v>
      </c>
      <c r="F132" s="124">
        <v>40</v>
      </c>
      <c r="G132" s="125"/>
      <c r="H132" s="125"/>
      <c r="I132" s="117">
        <f t="shared" si="82"/>
        <v>40</v>
      </c>
      <c r="J132" s="48"/>
      <c r="K132" s="47">
        <f t="shared" si="83"/>
        <v>9200</v>
      </c>
      <c r="L132" s="47"/>
      <c r="M132" s="49"/>
      <c r="N132" s="86"/>
    </row>
    <row r="133" spans="1:14" ht="18.75">
      <c r="A133" s="10"/>
      <c r="B133" s="73"/>
      <c r="C133" s="74"/>
      <c r="D133" s="41"/>
      <c r="E133" s="123"/>
      <c r="F133" s="124"/>
      <c r="G133" s="125"/>
      <c r="H133" s="125"/>
      <c r="I133" s="117"/>
      <c r="J133" s="48"/>
      <c r="K133" s="47"/>
      <c r="L133" s="47"/>
      <c r="M133" s="49"/>
      <c r="N133" s="86"/>
    </row>
    <row r="134" spans="1:14" ht="18.75">
      <c r="A134" s="10"/>
      <c r="B134" s="73"/>
      <c r="C134" s="74"/>
      <c r="D134" s="41"/>
      <c r="E134" s="123"/>
      <c r="F134" s="124"/>
      <c r="G134" s="125"/>
      <c r="H134" s="125"/>
      <c r="I134" s="117"/>
      <c r="J134" s="48"/>
      <c r="K134" s="47"/>
      <c r="L134" s="47"/>
      <c r="M134" s="49"/>
      <c r="N134" s="86"/>
    </row>
    <row r="135" spans="1:14" ht="18.75">
      <c r="A135" s="10"/>
      <c r="B135" s="73"/>
      <c r="C135" s="74"/>
      <c r="D135" s="41"/>
      <c r="E135" s="123"/>
      <c r="F135" s="124"/>
      <c r="G135" s="125"/>
      <c r="H135" s="125"/>
      <c r="I135" s="117"/>
      <c r="J135" s="48"/>
      <c r="K135" s="47"/>
      <c r="L135" s="47"/>
      <c r="M135" s="49"/>
      <c r="N135" s="86"/>
    </row>
    <row r="136" spans="1:14" ht="18.75">
      <c r="A136" s="10"/>
      <c r="B136" s="73"/>
      <c r="C136" s="74"/>
      <c r="D136" s="41"/>
      <c r="E136" s="123"/>
      <c r="F136" s="124"/>
      <c r="G136" s="125"/>
      <c r="H136" s="125"/>
      <c r="I136" s="117"/>
      <c r="J136" s="48"/>
      <c r="K136" s="47"/>
      <c r="L136" s="47"/>
      <c r="M136" s="49"/>
      <c r="N136" s="86"/>
    </row>
    <row r="137" spans="1:14" ht="18.75">
      <c r="A137" s="10"/>
      <c r="B137" s="73"/>
      <c r="C137" s="74"/>
      <c r="D137" s="41"/>
      <c r="E137" s="123"/>
      <c r="F137" s="124"/>
      <c r="G137" s="125"/>
      <c r="H137" s="125"/>
      <c r="I137" s="117"/>
      <c r="J137" s="48"/>
      <c r="K137" s="47"/>
      <c r="L137" s="47"/>
      <c r="M137" s="49"/>
      <c r="N137" s="86"/>
    </row>
    <row r="138" spans="1:14" ht="18.75">
      <c r="A138" s="10"/>
      <c r="B138" s="73"/>
      <c r="C138" s="74"/>
      <c r="D138" s="41"/>
      <c r="E138" s="123"/>
      <c r="F138" s="124"/>
      <c r="G138" s="125"/>
      <c r="H138" s="125"/>
      <c r="I138" s="117"/>
      <c r="J138" s="48"/>
      <c r="K138" s="47"/>
      <c r="L138" s="47"/>
      <c r="M138" s="49"/>
      <c r="N138" s="86"/>
    </row>
    <row r="139" spans="1:14" ht="18.75">
      <c r="A139" s="10"/>
      <c r="B139" s="73"/>
      <c r="C139" s="74"/>
      <c r="D139" s="41"/>
      <c r="E139" s="123"/>
      <c r="F139" s="124"/>
      <c r="G139" s="125"/>
      <c r="H139" s="125"/>
      <c r="I139" s="117"/>
      <c r="J139" s="48"/>
      <c r="K139" s="47"/>
      <c r="L139" s="47"/>
      <c r="M139" s="49"/>
      <c r="N139" s="86"/>
    </row>
    <row r="140" spans="1:14" ht="18.75">
      <c r="A140" s="10"/>
      <c r="B140" s="73"/>
      <c r="C140" s="74"/>
      <c r="D140" s="41"/>
      <c r="E140" s="123"/>
      <c r="F140" s="124"/>
      <c r="G140" s="125"/>
      <c r="H140" s="125"/>
      <c r="I140" s="117"/>
      <c r="J140" s="48"/>
      <c r="K140" s="47"/>
      <c r="L140" s="47"/>
      <c r="M140" s="49"/>
      <c r="N140" s="86"/>
    </row>
    <row r="141" spans="1:14" ht="19.5" thickBot="1">
      <c r="A141" s="10"/>
      <c r="B141" s="73"/>
      <c r="C141" s="74"/>
      <c r="D141" s="41"/>
      <c r="E141" s="123"/>
      <c r="F141" s="124"/>
      <c r="G141" s="125"/>
      <c r="H141" s="125"/>
      <c r="I141" s="117"/>
      <c r="J141" s="48"/>
      <c r="K141" s="47"/>
      <c r="L141" s="47"/>
      <c r="M141" s="49"/>
      <c r="N141" s="86"/>
    </row>
    <row r="142" spans="1:14" ht="19.5" thickBot="1">
      <c r="A142" s="36"/>
      <c r="B142" s="19" t="s">
        <v>8</v>
      </c>
      <c r="C142" s="93"/>
      <c r="D142" s="93"/>
      <c r="E142" s="162"/>
      <c r="F142" s="162"/>
      <c r="G142" s="162"/>
      <c r="H142" s="162"/>
      <c r="I142" s="93"/>
      <c r="J142" s="94"/>
      <c r="K142" s="93"/>
      <c r="L142" s="95"/>
      <c r="M142" s="96">
        <f>M143</f>
        <v>6402342</v>
      </c>
      <c r="N142" s="93"/>
    </row>
    <row r="143" spans="1:14" ht="18.75" thickBot="1">
      <c r="A143" s="20"/>
      <c r="B143" s="306" t="s">
        <v>9</v>
      </c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97">
        <f>SUM(M4:M141)</f>
        <v>6402342</v>
      </c>
      <c r="N143" s="93"/>
    </row>
    <row r="144" spans="1:14" ht="20.25" thickTop="1" thickBot="1">
      <c r="A144" s="5"/>
      <c r="B144" s="4"/>
      <c r="C144" s="98"/>
      <c r="D144" s="98"/>
      <c r="E144" s="163"/>
      <c r="F144" s="163"/>
      <c r="G144" s="163"/>
      <c r="H144" s="163"/>
      <c r="I144" s="98"/>
      <c r="J144" s="98"/>
      <c r="K144" s="98"/>
      <c r="L144" s="37" t="s">
        <v>10</v>
      </c>
      <c r="M144" s="38">
        <f>M142</f>
        <v>6402342</v>
      </c>
      <c r="N144" s="99"/>
    </row>
    <row r="145" spans="1:14" ht="20.25" thickTop="1" thickBot="1">
      <c r="A145" s="5"/>
      <c r="B145" s="4"/>
      <c r="C145" s="98"/>
      <c r="D145" s="98"/>
      <c r="E145" s="163"/>
      <c r="F145" s="163"/>
      <c r="G145" s="163"/>
      <c r="H145" s="163"/>
      <c r="I145" s="98"/>
      <c r="J145" s="98"/>
      <c r="K145" s="98"/>
      <c r="L145" s="100" t="s">
        <v>11</v>
      </c>
      <c r="M145" s="101">
        <f>M144*0</f>
        <v>0</v>
      </c>
      <c r="N145" s="102"/>
    </row>
    <row r="146" spans="1:14" ht="20.25" thickTop="1" thickBot="1">
      <c r="A146" s="5"/>
      <c r="B146" s="4"/>
      <c r="C146" s="98"/>
      <c r="D146" s="98"/>
      <c r="E146" s="163"/>
      <c r="F146" s="163"/>
      <c r="G146" s="163"/>
      <c r="H146" s="163"/>
      <c r="I146" s="98"/>
      <c r="J146" s="98"/>
      <c r="K146" s="98"/>
      <c r="L146" s="37" t="s">
        <v>12</v>
      </c>
      <c r="M146" s="38">
        <f>M144+M145</f>
        <v>6402342</v>
      </c>
      <c r="N146" s="99"/>
    </row>
    <row r="147" spans="1:14" ht="18.75" thickTop="1">
      <c r="B147" s="2"/>
      <c r="C147" s="103"/>
      <c r="D147" s="103"/>
      <c r="E147" s="164"/>
      <c r="F147" s="164"/>
      <c r="G147" s="164"/>
      <c r="H147" s="164"/>
      <c r="I147" s="103"/>
      <c r="J147" s="103"/>
      <c r="K147" s="103"/>
      <c r="L147" s="103"/>
      <c r="M147" s="103"/>
      <c r="N147" s="104"/>
    </row>
    <row r="148" spans="1:14" ht="18">
      <c r="B148" s="2"/>
      <c r="C148" s="103"/>
      <c r="D148" s="103"/>
      <c r="E148" s="164"/>
      <c r="F148" s="164"/>
      <c r="G148" s="164"/>
      <c r="H148" s="164"/>
      <c r="I148" s="103"/>
      <c r="J148" s="103"/>
      <c r="K148" s="103"/>
      <c r="L148" s="103"/>
      <c r="M148" s="105"/>
      <c r="N148" s="104"/>
    </row>
    <row r="149" spans="1:14" ht="18">
      <c r="B149" s="2"/>
      <c r="C149" s="103"/>
      <c r="D149" s="103"/>
      <c r="E149" s="164"/>
      <c r="F149" s="164"/>
      <c r="G149" s="164"/>
      <c r="H149" s="164"/>
      <c r="I149" s="103"/>
      <c r="J149" s="103"/>
      <c r="K149" s="103"/>
      <c r="L149" s="103"/>
      <c r="M149" s="105"/>
      <c r="N149" s="104"/>
    </row>
    <row r="150" spans="1:14" ht="18">
      <c r="B150" s="106"/>
      <c r="C150" s="107"/>
      <c r="D150" s="103"/>
      <c r="E150" s="164"/>
      <c r="F150" s="164"/>
      <c r="G150" s="164"/>
      <c r="H150" s="164"/>
      <c r="I150" s="103"/>
      <c r="J150" s="103"/>
      <c r="K150" s="103"/>
      <c r="N150" s="104"/>
    </row>
    <row r="151" spans="1:14" ht="18">
      <c r="E151" s="180"/>
      <c r="M151" s="108"/>
    </row>
    <row r="152" spans="1:14" ht="18">
      <c r="E152" s="180"/>
      <c r="M152" s="110"/>
    </row>
    <row r="153" spans="1:14" ht="15">
      <c r="L153" s="111"/>
      <c r="M153" s="112"/>
    </row>
    <row r="154" spans="1:14" ht="18">
      <c r="B154" s="113" t="s">
        <v>26</v>
      </c>
      <c r="C154" s="114">
        <v>305</v>
      </c>
      <c r="D154" s="115" t="s">
        <v>0</v>
      </c>
      <c r="E154" s="180"/>
    </row>
    <row r="155" spans="1:14" ht="18">
      <c r="A155" s="42"/>
      <c r="B155" s="113" t="s">
        <v>24</v>
      </c>
      <c r="C155" s="116">
        <f>M146/C154</f>
        <v>20991.285245901639</v>
      </c>
      <c r="D155" s="115" t="s">
        <v>25</v>
      </c>
      <c r="E155" s="180"/>
      <c r="F155" s="42"/>
      <c r="G155" s="42"/>
      <c r="H155" s="42"/>
      <c r="N155" s="42"/>
    </row>
    <row r="156" spans="1:14" ht="18">
      <c r="A156" s="42"/>
      <c r="B156" s="106"/>
      <c r="C156" s="106"/>
      <c r="D156" s="106"/>
      <c r="E156" s="180"/>
      <c r="F156" s="42"/>
      <c r="G156" s="42"/>
      <c r="H156" s="42"/>
      <c r="N156" s="42"/>
    </row>
    <row r="157" spans="1:14" ht="18">
      <c r="A157" s="42"/>
      <c r="B157" s="106"/>
      <c r="C157" s="106"/>
      <c r="D157" s="106"/>
      <c r="E157" s="180"/>
      <c r="F157" s="42"/>
      <c r="G157" s="42"/>
      <c r="H157" s="42"/>
      <c r="N157" s="42"/>
    </row>
    <row r="158" spans="1:14" ht="18">
      <c r="A158" s="42"/>
      <c r="B158" s="106"/>
      <c r="C158" s="106"/>
      <c r="D158" s="106"/>
      <c r="E158" s="180"/>
      <c r="F158" s="42"/>
      <c r="G158" s="42"/>
      <c r="H158" s="42"/>
      <c r="N158" s="42"/>
    </row>
    <row r="159" spans="1:14" ht="18">
      <c r="A159" s="42"/>
      <c r="B159" s="106"/>
      <c r="C159" s="106"/>
      <c r="D159" s="106"/>
      <c r="E159" s="180"/>
      <c r="F159" s="42"/>
      <c r="G159" s="42"/>
      <c r="H159" s="42"/>
      <c r="N159" s="42"/>
    </row>
  </sheetData>
  <mergeCells count="2">
    <mergeCell ref="B1:N1"/>
    <mergeCell ref="B143:L143"/>
  </mergeCells>
  <pageMargins left="0.7" right="0.7" top="0.75" bottom="0.75" header="0.3" footer="0.3"/>
  <pageSetup paperSize="8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8149-0C65-4C51-8B8A-09980BDAEC34}">
  <sheetPr>
    <pageSetUpPr fitToPage="1"/>
  </sheetPr>
  <dimension ref="A1:P163"/>
  <sheetViews>
    <sheetView topLeftCell="A3" zoomScale="70" zoomScaleNormal="70" workbookViewId="0">
      <selection activeCell="K23" sqref="K23"/>
    </sheetView>
  </sheetViews>
  <sheetFormatPr defaultColWidth="11.7109375" defaultRowHeight="14.25"/>
  <cols>
    <col min="1" max="1" width="9.5703125" style="50" customWidth="1"/>
    <col min="2" max="2" width="47.7109375" style="42" customWidth="1"/>
    <col min="3" max="3" width="15.85546875" style="42" customWidth="1"/>
    <col min="4" max="4" width="15.140625" style="165" customWidth="1"/>
    <col min="5" max="5" width="15.42578125" style="165" customWidth="1"/>
    <col min="6" max="6" width="13.42578125" style="165" customWidth="1"/>
    <col min="7" max="7" width="16.28515625" style="165" customWidth="1"/>
    <col min="8" max="8" width="14.85546875" style="165" customWidth="1"/>
    <col min="9" max="9" width="22" style="42" customWidth="1"/>
    <col min="10" max="10" width="20.7109375" style="42" hidden="1" customWidth="1"/>
    <col min="11" max="11" width="20.85546875" style="42" customWidth="1"/>
    <col min="12" max="12" width="21.28515625" style="42" customWidth="1"/>
    <col min="13" max="13" width="22.5703125" style="42" customWidth="1"/>
    <col min="14" max="14" width="17.28515625" style="109" customWidth="1"/>
    <col min="15" max="16384" width="11.7109375" style="42"/>
  </cols>
  <sheetData>
    <row r="1" spans="1:14" ht="24" thickBot="1">
      <c r="B1" s="304" t="s">
        <v>199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37.5" thickTop="1" thickBot="1">
      <c r="A2" s="29" t="s">
        <v>3</v>
      </c>
      <c r="B2" s="24" t="s">
        <v>4</v>
      </c>
      <c r="C2" s="33" t="s">
        <v>5</v>
      </c>
      <c r="D2" s="192" t="s">
        <v>6</v>
      </c>
      <c r="E2" s="174" t="s">
        <v>200</v>
      </c>
      <c r="F2" s="156" t="s">
        <v>14</v>
      </c>
      <c r="G2" s="166" t="s">
        <v>13</v>
      </c>
      <c r="H2" s="156" t="s">
        <v>15</v>
      </c>
      <c r="I2" s="43" t="s">
        <v>7</v>
      </c>
      <c r="J2" s="1"/>
      <c r="K2" s="25"/>
      <c r="L2" s="26"/>
      <c r="M2" s="27">
        <f>M3</f>
        <v>915992.34400000004</v>
      </c>
      <c r="N2" s="28"/>
    </row>
    <row r="3" spans="1:14" s="55" customFormat="1" ht="19.5" thickTop="1" thickBot="1">
      <c r="A3" s="23"/>
      <c r="B3" s="51" t="s">
        <v>22</v>
      </c>
      <c r="C3" s="52"/>
      <c r="D3" s="193"/>
      <c r="E3" s="175"/>
      <c r="F3" s="157"/>
      <c r="G3" s="167"/>
      <c r="H3" s="167"/>
      <c r="I3" s="44"/>
      <c r="J3" s="30"/>
      <c r="K3" s="31"/>
      <c r="L3" s="31"/>
      <c r="M3" s="54">
        <f>SUM(M4:M145)</f>
        <v>915992.34400000004</v>
      </c>
      <c r="N3" s="32"/>
    </row>
    <row r="4" spans="1:14" s="60" customFormat="1" ht="18">
      <c r="A4" s="11"/>
      <c r="B4" s="56" t="s">
        <v>19</v>
      </c>
      <c r="C4" s="57"/>
      <c r="D4" s="194"/>
      <c r="E4" s="176"/>
      <c r="F4" s="158"/>
      <c r="G4" s="168"/>
      <c r="H4" s="168"/>
      <c r="I4" s="45"/>
      <c r="J4" s="21"/>
      <c r="K4" s="22"/>
      <c r="L4" s="12"/>
      <c r="M4" s="59">
        <f>SUM(L5:L8)</f>
        <v>51164</v>
      </c>
      <c r="N4" s="13"/>
    </row>
    <row r="5" spans="1:14" s="65" customFormat="1" ht="18">
      <c r="A5" s="15"/>
      <c r="B5" s="61" t="s">
        <v>30</v>
      </c>
      <c r="C5" s="62"/>
      <c r="D5" s="63"/>
      <c r="E5" s="177"/>
      <c r="F5" s="159"/>
      <c r="G5" s="169"/>
      <c r="H5" s="169"/>
      <c r="I5" s="46"/>
      <c r="J5" s="16"/>
      <c r="K5" s="17"/>
      <c r="L5" s="17">
        <f>SUM(K6:K8)</f>
        <v>51164</v>
      </c>
      <c r="M5" s="64"/>
      <c r="N5" s="18"/>
    </row>
    <row r="6" spans="1:14" ht="18.75">
      <c r="A6" s="10"/>
      <c r="B6" s="66" t="s">
        <v>30</v>
      </c>
      <c r="C6" s="67" t="s">
        <v>1</v>
      </c>
      <c r="D6" s="68">
        <v>1</v>
      </c>
      <c r="E6" s="69">
        <v>1</v>
      </c>
      <c r="F6" s="124">
        <v>20000</v>
      </c>
      <c r="G6" s="70"/>
      <c r="H6" s="125"/>
      <c r="I6" s="117">
        <f>SUM(F6:H6)*E6</f>
        <v>20000</v>
      </c>
      <c r="J6" s="48"/>
      <c r="K6" s="47">
        <f>D6*I6</f>
        <v>20000</v>
      </c>
      <c r="L6" s="47"/>
      <c r="M6" s="71"/>
      <c r="N6" s="72"/>
    </row>
    <row r="7" spans="1:14" ht="18.75">
      <c r="A7" s="10"/>
      <c r="B7" s="73" t="s">
        <v>61</v>
      </c>
      <c r="C7" s="152" t="s">
        <v>0</v>
      </c>
      <c r="D7" s="153">
        <v>180</v>
      </c>
      <c r="E7" s="69">
        <v>1</v>
      </c>
      <c r="F7" s="124">
        <v>100</v>
      </c>
      <c r="G7" s="125"/>
      <c r="H7" s="125"/>
      <c r="I7" s="117">
        <f>SUM(F7:H7)*E7</f>
        <v>100</v>
      </c>
      <c r="J7" s="48"/>
      <c r="K7" s="47">
        <f t="shared" ref="K7:K8" si="0">D7*I7</f>
        <v>18000</v>
      </c>
      <c r="L7" s="154"/>
      <c r="M7" s="49"/>
      <c r="N7" s="72"/>
    </row>
    <row r="8" spans="1:14" ht="30">
      <c r="A8" s="10"/>
      <c r="B8" s="73" t="s">
        <v>62</v>
      </c>
      <c r="C8" s="152" t="s">
        <v>0</v>
      </c>
      <c r="D8" s="153">
        <v>131.63999999999999</v>
      </c>
      <c r="E8" s="69">
        <v>1</v>
      </c>
      <c r="F8" s="124">
        <v>100</v>
      </c>
      <c r="G8" s="125"/>
      <c r="H8" s="125"/>
      <c r="I8" s="117">
        <f>SUM(F8:H8)*E8</f>
        <v>100</v>
      </c>
      <c r="J8" s="48"/>
      <c r="K8" s="47">
        <f t="shared" si="0"/>
        <v>13163.999999999998</v>
      </c>
      <c r="L8" s="154"/>
      <c r="M8" s="49"/>
      <c r="N8" s="72"/>
    </row>
    <row r="9" spans="1:14" s="60" customFormat="1" ht="18">
      <c r="A9" s="8"/>
      <c r="B9" s="75" t="s">
        <v>18</v>
      </c>
      <c r="C9" s="76"/>
      <c r="D9" s="195"/>
      <c r="E9" s="178"/>
      <c r="F9" s="160"/>
      <c r="G9" s="170"/>
      <c r="H9" s="170"/>
      <c r="I9" s="45"/>
      <c r="J9" s="6"/>
      <c r="K9" s="35"/>
      <c r="L9" s="35"/>
      <c r="M9" s="78">
        <f>SUM(L10:L38)</f>
        <v>197862.41399999999</v>
      </c>
      <c r="N9" s="9"/>
    </row>
    <row r="10" spans="1:14" s="65" customFormat="1" ht="18.75">
      <c r="A10" s="185"/>
      <c r="B10" s="79" t="s">
        <v>111</v>
      </c>
      <c r="C10" s="80"/>
      <c r="D10" s="183"/>
      <c r="E10" s="179"/>
      <c r="F10" s="161"/>
      <c r="G10" s="171"/>
      <c r="H10" s="171"/>
      <c r="I10" s="39"/>
      <c r="J10" s="82"/>
      <c r="K10" s="83"/>
      <c r="L10" s="64">
        <f>SUM(K11:K19)</f>
        <v>22018.799999999996</v>
      </c>
      <c r="M10" s="64"/>
      <c r="N10" s="84"/>
    </row>
    <row r="11" spans="1:14" ht="18.75">
      <c r="A11" s="186">
        <v>1</v>
      </c>
      <c r="B11" s="85" t="s">
        <v>58</v>
      </c>
      <c r="C11" s="74" t="s">
        <v>34</v>
      </c>
      <c r="D11" s="155">
        <f>(7.6*3.7+3.5*7.6+1.5*1.2*7)*0.1</f>
        <v>6.7319999999999993</v>
      </c>
      <c r="E11" s="69">
        <v>1</v>
      </c>
      <c r="F11" s="40">
        <v>150</v>
      </c>
      <c r="G11" s="70"/>
      <c r="H11" s="70"/>
      <c r="I11" s="117">
        <f>SUM(F11:H11)*E11</f>
        <v>150</v>
      </c>
      <c r="J11" s="48"/>
      <c r="K11" s="47">
        <f t="shared" ref="K11:K19" si="1">D11*I11</f>
        <v>1009.8</v>
      </c>
      <c r="L11" s="47"/>
      <c r="M11" s="118"/>
      <c r="N11" s="86"/>
    </row>
    <row r="12" spans="1:14" ht="18.75">
      <c r="A12" s="186">
        <v>1</v>
      </c>
      <c r="B12" s="85" t="s">
        <v>60</v>
      </c>
      <c r="C12" s="74" t="s">
        <v>34</v>
      </c>
      <c r="D12" s="155">
        <v>0</v>
      </c>
      <c r="E12" s="69">
        <v>1</v>
      </c>
      <c r="F12" s="40">
        <v>200</v>
      </c>
      <c r="G12" s="70"/>
      <c r="H12" s="70"/>
      <c r="I12" s="117">
        <f t="shared" ref="I12:I19" si="2">SUM(F12:H12)*E12</f>
        <v>200</v>
      </c>
      <c r="J12" s="48"/>
      <c r="K12" s="47">
        <f t="shared" si="1"/>
        <v>0</v>
      </c>
      <c r="L12" s="47"/>
      <c r="M12" s="119"/>
      <c r="N12" s="86"/>
    </row>
    <row r="13" spans="1:14" ht="18.75">
      <c r="A13" s="186">
        <v>1</v>
      </c>
      <c r="B13" s="85" t="s">
        <v>201</v>
      </c>
      <c r="C13" s="74" t="s">
        <v>34</v>
      </c>
      <c r="D13" s="155">
        <f>1.5*1.2*0.4*7</f>
        <v>5.04</v>
      </c>
      <c r="E13" s="69">
        <v>1</v>
      </c>
      <c r="F13" s="40">
        <v>200</v>
      </c>
      <c r="G13" s="70"/>
      <c r="H13" s="70"/>
      <c r="I13" s="117">
        <f t="shared" si="2"/>
        <v>200</v>
      </c>
      <c r="J13" s="48"/>
      <c r="K13" s="47">
        <f t="shared" si="1"/>
        <v>1008</v>
      </c>
      <c r="L13" s="47"/>
      <c r="M13" s="119"/>
      <c r="N13" s="86"/>
    </row>
    <row r="14" spans="1:14" ht="18.75">
      <c r="A14" s="186">
        <v>1</v>
      </c>
      <c r="B14" s="85" t="s">
        <v>127</v>
      </c>
      <c r="C14" s="74" t="s">
        <v>34</v>
      </c>
      <c r="D14" s="155">
        <v>0</v>
      </c>
      <c r="E14" s="69">
        <v>1</v>
      </c>
      <c r="F14" s="40">
        <v>200</v>
      </c>
      <c r="G14" s="70"/>
      <c r="H14" s="70"/>
      <c r="I14" s="117">
        <f t="shared" ref="I14" si="3">SUM(F14:H14)*E14</f>
        <v>200</v>
      </c>
      <c r="J14" s="48"/>
      <c r="K14" s="47">
        <f t="shared" si="1"/>
        <v>0</v>
      </c>
      <c r="L14" s="47"/>
      <c r="M14" s="119"/>
      <c r="N14" s="86"/>
    </row>
    <row r="15" spans="1:14" ht="18.75">
      <c r="A15" s="186">
        <v>1</v>
      </c>
      <c r="B15" s="85" t="s">
        <v>112</v>
      </c>
      <c r="C15" s="74" t="s">
        <v>34</v>
      </c>
      <c r="D15" s="155">
        <f>3.3*7.4*0.25+7.4*3.5*0.25</f>
        <v>12.58</v>
      </c>
      <c r="E15" s="69">
        <v>1</v>
      </c>
      <c r="F15" s="40">
        <v>200</v>
      </c>
      <c r="G15" s="70"/>
      <c r="H15" s="70"/>
      <c r="I15" s="117">
        <f t="shared" ref="I15" si="4">SUM(F15:H15)*E15</f>
        <v>200</v>
      </c>
      <c r="J15" s="48"/>
      <c r="K15" s="47">
        <f t="shared" si="1"/>
        <v>2516</v>
      </c>
      <c r="L15" s="47"/>
      <c r="M15" s="119"/>
      <c r="N15" s="86"/>
    </row>
    <row r="16" spans="1:14" ht="18.75">
      <c r="A16" s="186">
        <v>1</v>
      </c>
      <c r="B16" s="85" t="s">
        <v>128</v>
      </c>
      <c r="C16" s="74" t="s">
        <v>34</v>
      </c>
      <c r="D16" s="155">
        <v>0</v>
      </c>
      <c r="E16" s="69">
        <v>1</v>
      </c>
      <c r="F16" s="40">
        <v>200</v>
      </c>
      <c r="G16" s="70"/>
      <c r="H16" s="70"/>
      <c r="I16" s="117">
        <f t="shared" ref="I16" si="5">SUM(F16:H16)*E16</f>
        <v>200</v>
      </c>
      <c r="J16" s="48"/>
      <c r="K16" s="47">
        <f t="shared" si="1"/>
        <v>0</v>
      </c>
      <c r="L16" s="47"/>
      <c r="M16" s="119"/>
      <c r="N16" s="86"/>
    </row>
    <row r="17" spans="1:14" ht="18.75">
      <c r="A17" s="186">
        <v>1</v>
      </c>
      <c r="B17" s="85" t="s">
        <v>129</v>
      </c>
      <c r="C17" s="74" t="s">
        <v>0</v>
      </c>
      <c r="D17" s="155">
        <f>(2.9*2+6.8*2)*8.25-2.7*3*2</f>
        <v>143.84999999999997</v>
      </c>
      <c r="E17" s="69">
        <v>1</v>
      </c>
      <c r="F17" s="40">
        <v>100</v>
      </c>
      <c r="G17" s="70"/>
      <c r="H17" s="70"/>
      <c r="I17" s="117">
        <f t="shared" si="2"/>
        <v>100</v>
      </c>
      <c r="J17" s="48"/>
      <c r="K17" s="47">
        <f t="shared" si="1"/>
        <v>14384.999999999996</v>
      </c>
      <c r="L17" s="47"/>
      <c r="M17" s="119"/>
      <c r="N17" s="86"/>
    </row>
    <row r="18" spans="1:14" ht="18.75">
      <c r="A18" s="186">
        <v>1</v>
      </c>
      <c r="B18" s="85" t="s">
        <v>130</v>
      </c>
      <c r="C18" s="74" t="s">
        <v>0</v>
      </c>
      <c r="D18" s="155">
        <v>0</v>
      </c>
      <c r="E18" s="69">
        <v>1</v>
      </c>
      <c r="F18" s="40">
        <v>100</v>
      </c>
      <c r="G18" s="70"/>
      <c r="H18" s="70"/>
      <c r="I18" s="117">
        <f t="shared" ref="I18" si="6">SUM(F18:H18)*E18</f>
        <v>100</v>
      </c>
      <c r="J18" s="48"/>
      <c r="K18" s="47">
        <f t="shared" si="1"/>
        <v>0</v>
      </c>
      <c r="L18" s="47"/>
      <c r="M18" s="119"/>
      <c r="N18" s="86"/>
    </row>
    <row r="19" spans="1:14" ht="18.75">
      <c r="A19" s="186">
        <v>1</v>
      </c>
      <c r="B19" s="66" t="s">
        <v>59</v>
      </c>
      <c r="C19" s="74" t="s">
        <v>0</v>
      </c>
      <c r="D19" s="155">
        <f>2.5*6.2</f>
        <v>15.5</v>
      </c>
      <c r="E19" s="69">
        <v>1</v>
      </c>
      <c r="F19" s="40">
        <v>200</v>
      </c>
      <c r="G19" s="70"/>
      <c r="H19" s="70"/>
      <c r="I19" s="117">
        <f t="shared" si="2"/>
        <v>200</v>
      </c>
      <c r="J19" s="48"/>
      <c r="K19" s="47">
        <f t="shared" si="1"/>
        <v>3100</v>
      </c>
      <c r="L19" s="47"/>
      <c r="M19" s="119"/>
      <c r="N19" s="86"/>
    </row>
    <row r="20" spans="1:14" s="65" customFormat="1" ht="18.75">
      <c r="A20" s="185"/>
      <c r="B20" s="79" t="s">
        <v>113</v>
      </c>
      <c r="C20" s="80"/>
      <c r="D20" s="184"/>
      <c r="E20" s="179"/>
      <c r="F20" s="161"/>
      <c r="G20" s="171"/>
      <c r="H20" s="171"/>
      <c r="I20" s="39"/>
      <c r="J20" s="82"/>
      <c r="K20" s="83"/>
      <c r="L20" s="64">
        <f>SUM(K21:K25)</f>
        <v>23560.585999999999</v>
      </c>
      <c r="M20" s="64"/>
      <c r="N20" s="84"/>
    </row>
    <row r="21" spans="1:14" ht="18.75">
      <c r="A21" s="186">
        <v>1</v>
      </c>
      <c r="B21" s="85" t="s">
        <v>114</v>
      </c>
      <c r="C21" s="74" t="s">
        <v>34</v>
      </c>
      <c r="D21" s="155">
        <f>D11</f>
        <v>6.7319999999999993</v>
      </c>
      <c r="E21" s="69">
        <v>1.05</v>
      </c>
      <c r="F21" s="40"/>
      <c r="G21" s="70">
        <v>210</v>
      </c>
      <c r="H21" s="70"/>
      <c r="I21" s="117">
        <f>SUM(F21:H21)*E21</f>
        <v>220.5</v>
      </c>
      <c r="J21" s="48"/>
      <c r="K21" s="47">
        <f t="shared" ref="K21:K25" si="7">D21*I21</f>
        <v>1484.4059999999999</v>
      </c>
      <c r="L21" s="47"/>
      <c r="M21" s="118"/>
      <c r="N21" s="86"/>
    </row>
    <row r="22" spans="1:14" ht="18.75">
      <c r="A22" s="186">
        <v>1</v>
      </c>
      <c r="B22" s="85" t="s">
        <v>115</v>
      </c>
      <c r="C22" s="74" t="s">
        <v>34</v>
      </c>
      <c r="D22" s="155">
        <f>D12+D13+D14+D15+D16+D17*0.2+D18*0.2+D19*0.15</f>
        <v>48.715000000000003</v>
      </c>
      <c r="E22" s="69">
        <v>1.05</v>
      </c>
      <c r="F22" s="40"/>
      <c r="G22" s="70">
        <v>240</v>
      </c>
      <c r="H22" s="70"/>
      <c r="I22" s="117">
        <f t="shared" ref="I22:I24" si="8">SUM(F22:H22)*E22</f>
        <v>252</v>
      </c>
      <c r="J22" s="48"/>
      <c r="K22" s="47">
        <f t="shared" si="7"/>
        <v>12276.18</v>
      </c>
      <c r="L22" s="47"/>
      <c r="M22" s="119"/>
      <c r="N22" s="86"/>
    </row>
    <row r="23" spans="1:14" ht="18.75">
      <c r="A23" s="186">
        <v>1</v>
      </c>
      <c r="B23" s="85" t="s">
        <v>116</v>
      </c>
      <c r="C23" s="74" t="s">
        <v>117</v>
      </c>
      <c r="D23" s="155">
        <v>30</v>
      </c>
      <c r="E23" s="69">
        <v>1</v>
      </c>
      <c r="F23" s="40"/>
      <c r="G23" s="70"/>
      <c r="H23" s="70">
        <v>240</v>
      </c>
      <c r="I23" s="117">
        <f t="shared" si="8"/>
        <v>240</v>
      </c>
      <c r="J23" s="48"/>
      <c r="K23" s="47">
        <f t="shared" si="7"/>
        <v>7200</v>
      </c>
      <c r="L23" s="47"/>
      <c r="M23" s="119"/>
      <c r="N23" s="86"/>
    </row>
    <row r="24" spans="1:14" ht="18.75">
      <c r="A24" s="186">
        <v>1</v>
      </c>
      <c r="B24" s="85" t="s">
        <v>118</v>
      </c>
      <c r="C24" s="74" t="s">
        <v>1</v>
      </c>
      <c r="D24" s="155">
        <v>2</v>
      </c>
      <c r="E24" s="69">
        <v>1</v>
      </c>
      <c r="F24" s="40">
        <v>300</v>
      </c>
      <c r="G24" s="70"/>
      <c r="H24" s="70"/>
      <c r="I24" s="117">
        <f t="shared" si="8"/>
        <v>300</v>
      </c>
      <c r="J24" s="48"/>
      <c r="K24" s="47">
        <f t="shared" si="7"/>
        <v>600</v>
      </c>
      <c r="L24" s="47"/>
      <c r="M24" s="119"/>
      <c r="N24" s="86"/>
    </row>
    <row r="25" spans="1:14" ht="18.75">
      <c r="A25" s="186">
        <v>1</v>
      </c>
      <c r="B25" s="85" t="s">
        <v>119</v>
      </c>
      <c r="C25" s="74" t="s">
        <v>1</v>
      </c>
      <c r="D25" s="155">
        <v>1</v>
      </c>
      <c r="E25" s="69">
        <v>1</v>
      </c>
      <c r="F25" s="40"/>
      <c r="G25" s="70">
        <v>2000</v>
      </c>
      <c r="H25" s="70"/>
      <c r="I25" s="117">
        <f t="shared" ref="I25" si="9">SUM(F25:H25)*E25</f>
        <v>2000</v>
      </c>
      <c r="J25" s="48"/>
      <c r="K25" s="47">
        <f t="shared" si="7"/>
        <v>2000</v>
      </c>
      <c r="L25" s="47"/>
      <c r="M25" s="119"/>
      <c r="N25" s="86"/>
    </row>
    <row r="26" spans="1:14" s="65" customFormat="1" ht="18.75">
      <c r="A26" s="185"/>
      <c r="B26" s="79" t="s">
        <v>120</v>
      </c>
      <c r="C26" s="80"/>
      <c r="D26" s="184"/>
      <c r="E26" s="179"/>
      <c r="F26" s="161"/>
      <c r="G26" s="171"/>
      <c r="H26" s="171"/>
      <c r="I26" s="39"/>
      <c r="J26" s="82"/>
      <c r="K26" s="83"/>
      <c r="L26" s="64">
        <f>SUM(K27:K30)</f>
        <v>23695.224999999999</v>
      </c>
      <c r="M26" s="64"/>
      <c r="N26" s="84"/>
    </row>
    <row r="27" spans="1:14" ht="18.75">
      <c r="A27" s="186">
        <v>1</v>
      </c>
      <c r="B27" s="85" t="s">
        <v>121</v>
      </c>
      <c r="C27" s="74" t="s">
        <v>34</v>
      </c>
      <c r="D27" s="155">
        <f>D22</f>
        <v>48.715000000000003</v>
      </c>
      <c r="E27" s="69">
        <v>1.05</v>
      </c>
      <c r="F27" s="40"/>
      <c r="G27" s="70"/>
      <c r="H27" s="70">
        <v>300</v>
      </c>
      <c r="I27" s="117">
        <f>SUM(F27:H27)*E27</f>
        <v>315</v>
      </c>
      <c r="J27" s="48"/>
      <c r="K27" s="47">
        <f t="shared" ref="K27:K30" si="10">D27*I27</f>
        <v>15345.225</v>
      </c>
      <c r="L27" s="47"/>
      <c r="M27" s="118"/>
      <c r="N27" s="86"/>
    </row>
    <row r="28" spans="1:14" ht="18.75">
      <c r="A28" s="186">
        <v>1</v>
      </c>
      <c r="B28" s="85" t="s">
        <v>122</v>
      </c>
      <c r="C28" s="74" t="s">
        <v>0</v>
      </c>
      <c r="D28" s="155">
        <v>20</v>
      </c>
      <c r="E28" s="69">
        <v>1.05</v>
      </c>
      <c r="F28" s="40"/>
      <c r="G28" s="70">
        <v>50</v>
      </c>
      <c r="H28" s="70"/>
      <c r="I28" s="117">
        <f t="shared" ref="I28:I29" si="11">SUM(F28:H28)*E28</f>
        <v>52.5</v>
      </c>
      <c r="J28" s="48"/>
      <c r="K28" s="47">
        <f t="shared" si="10"/>
        <v>1050</v>
      </c>
      <c r="L28" s="47"/>
      <c r="M28" s="119"/>
      <c r="N28" s="86"/>
    </row>
    <row r="29" spans="1:14" ht="18.75">
      <c r="A29" s="186">
        <v>1</v>
      </c>
      <c r="B29" s="85" t="s">
        <v>123</v>
      </c>
      <c r="C29" s="74" t="s">
        <v>34</v>
      </c>
      <c r="D29" s="155">
        <v>2</v>
      </c>
      <c r="E29" s="69">
        <v>1</v>
      </c>
      <c r="F29" s="40"/>
      <c r="G29" s="70">
        <v>650</v>
      </c>
      <c r="H29" s="70"/>
      <c r="I29" s="117">
        <f t="shared" si="11"/>
        <v>650</v>
      </c>
      <c r="J29" s="48"/>
      <c r="K29" s="47">
        <f t="shared" si="10"/>
        <v>1300</v>
      </c>
      <c r="L29" s="47"/>
      <c r="M29" s="119"/>
      <c r="N29" s="86"/>
    </row>
    <row r="30" spans="1:14" ht="18.75">
      <c r="A30" s="186">
        <v>1</v>
      </c>
      <c r="B30" s="85" t="s">
        <v>131</v>
      </c>
      <c r="C30" s="74" t="s">
        <v>1</v>
      </c>
      <c r="D30" s="155">
        <v>6</v>
      </c>
      <c r="E30" s="69">
        <v>1</v>
      </c>
      <c r="F30" s="40"/>
      <c r="G30" s="70">
        <v>1000</v>
      </c>
      <c r="H30" s="70"/>
      <c r="I30" s="117">
        <f t="shared" ref="I30" si="12">SUM(F30:H30)*E30</f>
        <v>1000</v>
      </c>
      <c r="J30" s="48"/>
      <c r="K30" s="47">
        <f t="shared" si="10"/>
        <v>6000</v>
      </c>
      <c r="L30" s="47"/>
      <c r="M30" s="119"/>
      <c r="N30" s="86"/>
    </row>
    <row r="31" spans="1:14" s="65" customFormat="1" ht="18.75">
      <c r="A31" s="185"/>
      <c r="B31" s="79" t="s">
        <v>31</v>
      </c>
      <c r="C31" s="80"/>
      <c r="D31" s="184"/>
      <c r="E31" s="179"/>
      <c r="F31" s="161"/>
      <c r="G31" s="171"/>
      <c r="H31" s="171"/>
      <c r="I31" s="39"/>
      <c r="J31" s="82"/>
      <c r="K31" s="83"/>
      <c r="L31" s="64">
        <f>SUM(K32:K34)</f>
        <v>23587.803</v>
      </c>
      <c r="M31" s="64"/>
      <c r="N31" s="84"/>
    </row>
    <row r="32" spans="1:14" ht="18.75">
      <c r="A32" s="186">
        <v>1</v>
      </c>
      <c r="B32" s="85" t="s">
        <v>38</v>
      </c>
      <c r="C32" s="74" t="s">
        <v>37</v>
      </c>
      <c r="D32" s="155">
        <f>D22*0.12</f>
        <v>5.8458000000000006</v>
      </c>
      <c r="E32" s="69">
        <v>1</v>
      </c>
      <c r="F32" s="40">
        <v>1200</v>
      </c>
      <c r="G32" s="70"/>
      <c r="H32" s="70"/>
      <c r="I32" s="117">
        <f t="shared" ref="I32" si="13">SUM(F32:H32)*E32</f>
        <v>1200</v>
      </c>
      <c r="J32" s="48"/>
      <c r="K32" s="47">
        <f t="shared" ref="K32:K33" si="14">D32*I32</f>
        <v>7014.9600000000009</v>
      </c>
      <c r="L32" s="47"/>
      <c r="M32" s="49"/>
      <c r="N32" s="86"/>
    </row>
    <row r="33" spans="1:14" ht="18.75">
      <c r="A33" s="186">
        <v>1</v>
      </c>
      <c r="B33" s="85" t="s">
        <v>124</v>
      </c>
      <c r="C33" s="74" t="s">
        <v>37</v>
      </c>
      <c r="D33" s="155">
        <f>D32</f>
        <v>5.8458000000000006</v>
      </c>
      <c r="E33" s="69">
        <v>1.05</v>
      </c>
      <c r="F33" s="40"/>
      <c r="G33" s="70">
        <v>2600</v>
      </c>
      <c r="H33" s="70">
        <v>100</v>
      </c>
      <c r="I33" s="117">
        <f t="shared" ref="I33:I36" si="15">SUM(F33:H33)*E33</f>
        <v>2835</v>
      </c>
      <c r="J33" s="48"/>
      <c r="K33" s="47">
        <f t="shared" si="14"/>
        <v>16572.843000000001</v>
      </c>
      <c r="L33" s="47"/>
      <c r="M33" s="49"/>
      <c r="N33" s="86"/>
    </row>
    <row r="34" spans="1:14" ht="18.75">
      <c r="A34" s="186">
        <v>1</v>
      </c>
      <c r="B34" s="85"/>
      <c r="C34" s="74"/>
      <c r="D34" s="155"/>
      <c r="E34" s="69"/>
      <c r="F34" s="40"/>
      <c r="G34" s="70"/>
      <c r="H34" s="70"/>
      <c r="I34" s="117"/>
      <c r="J34" s="48"/>
      <c r="K34" s="47"/>
      <c r="L34" s="47"/>
      <c r="M34" s="49"/>
      <c r="N34" s="86"/>
    </row>
    <row r="35" spans="1:14" s="65" customFormat="1" ht="18.75">
      <c r="A35" s="185"/>
      <c r="B35" s="79" t="s">
        <v>35</v>
      </c>
      <c r="C35" s="80"/>
      <c r="D35" s="184"/>
      <c r="E35" s="179"/>
      <c r="F35" s="161"/>
      <c r="G35" s="171"/>
      <c r="H35" s="171"/>
      <c r="I35" s="39"/>
      <c r="J35" s="82"/>
      <c r="K35" s="83"/>
      <c r="L35" s="64">
        <f>SUM(K36:K36)</f>
        <v>105000</v>
      </c>
      <c r="M35" s="64"/>
      <c r="N35" s="84"/>
    </row>
    <row r="36" spans="1:14" ht="18.75">
      <c r="A36" s="186">
        <v>1</v>
      </c>
      <c r="B36" s="66" t="s">
        <v>36</v>
      </c>
      <c r="C36" s="74" t="s">
        <v>37</v>
      </c>
      <c r="D36" s="155">
        <v>10</v>
      </c>
      <c r="E36" s="69">
        <v>1.05</v>
      </c>
      <c r="F36" s="124">
        <v>10000</v>
      </c>
      <c r="G36" s="125"/>
      <c r="H36" s="125"/>
      <c r="I36" s="117">
        <f t="shared" si="15"/>
        <v>10500</v>
      </c>
      <c r="J36" s="48"/>
      <c r="K36" s="47">
        <f t="shared" ref="K36" si="16">D36*I36</f>
        <v>105000</v>
      </c>
      <c r="L36" s="47"/>
      <c r="M36" s="119"/>
      <c r="N36" s="86"/>
    </row>
    <row r="37" spans="1:14" ht="30">
      <c r="A37" s="186">
        <v>1</v>
      </c>
      <c r="B37" s="73" t="s">
        <v>125</v>
      </c>
      <c r="C37" s="74" t="s">
        <v>0</v>
      </c>
      <c r="D37" s="122">
        <v>130.78</v>
      </c>
      <c r="E37" s="69"/>
      <c r="F37" s="124"/>
      <c r="G37" s="125"/>
      <c r="H37" s="125"/>
      <c r="I37" s="117"/>
      <c r="J37" s="48"/>
      <c r="K37" s="47"/>
      <c r="L37" s="47"/>
      <c r="M37" s="119"/>
      <c r="N37" s="86"/>
    </row>
    <row r="38" spans="1:14" ht="18.75">
      <c r="A38" s="186"/>
      <c r="B38" s="73" t="s">
        <v>126</v>
      </c>
      <c r="C38" s="74" t="s">
        <v>74</v>
      </c>
      <c r="D38" s="155">
        <v>8</v>
      </c>
      <c r="E38" s="69"/>
      <c r="F38" s="124"/>
      <c r="G38" s="125"/>
      <c r="H38" s="125"/>
      <c r="I38" s="117"/>
      <c r="J38" s="48"/>
      <c r="K38" s="47"/>
      <c r="L38" s="47"/>
      <c r="M38" s="119"/>
      <c r="N38" s="86"/>
    </row>
    <row r="39" spans="1:14" s="60" customFormat="1" ht="30">
      <c r="A39" s="8"/>
      <c r="B39" s="75" t="s">
        <v>202</v>
      </c>
      <c r="C39" s="76"/>
      <c r="D39" s="196"/>
      <c r="E39" s="178"/>
      <c r="F39" s="160"/>
      <c r="G39" s="170"/>
      <c r="H39" s="170"/>
      <c r="I39" s="45"/>
      <c r="J39" s="6"/>
      <c r="K39" s="7"/>
      <c r="L39" s="7">
        <f>SUM(K40:K44)</f>
        <v>6421.68</v>
      </c>
      <c r="M39" s="78">
        <f>SUM(L39:L44)</f>
        <v>6421.68</v>
      </c>
      <c r="N39" s="9"/>
    </row>
    <row r="40" spans="1:14" ht="60">
      <c r="A40" s="10"/>
      <c r="B40" s="85" t="s">
        <v>188</v>
      </c>
      <c r="C40" s="74" t="s">
        <v>0</v>
      </c>
      <c r="D40" s="155">
        <f>3.3*7.4+7.4*3.5+(6.6*2+2.9*2)*0.25*2 +(3.3*2+7.4*2+7.4*2+3.5*2)*0.25*2</f>
        <v>81.42</v>
      </c>
      <c r="E40" s="188">
        <v>1</v>
      </c>
      <c r="F40" s="189">
        <v>20</v>
      </c>
      <c r="G40" s="155">
        <v>30</v>
      </c>
      <c r="H40" s="125"/>
      <c r="I40" s="117">
        <f t="shared" ref="I40:I44" si="17">SUM(F40:H40)*E40</f>
        <v>50</v>
      </c>
      <c r="J40" s="48"/>
      <c r="K40" s="47">
        <f t="shared" ref="K40:K44" si="18">D40*I40</f>
        <v>4071</v>
      </c>
      <c r="L40" s="47"/>
      <c r="M40" s="49"/>
      <c r="N40" s="86"/>
    </row>
    <row r="41" spans="1:14" ht="18.75">
      <c r="A41" s="10"/>
      <c r="B41" s="73" t="s">
        <v>64</v>
      </c>
      <c r="C41" s="74" t="s">
        <v>0</v>
      </c>
      <c r="D41" s="155">
        <v>0</v>
      </c>
      <c r="E41" s="188">
        <v>1</v>
      </c>
      <c r="F41" s="189">
        <v>12</v>
      </c>
      <c r="G41" s="190">
        <v>15</v>
      </c>
      <c r="H41" s="70"/>
      <c r="I41" s="117">
        <f t="shared" si="17"/>
        <v>27</v>
      </c>
      <c r="J41" s="48"/>
      <c r="K41" s="47">
        <f t="shared" si="18"/>
        <v>0</v>
      </c>
      <c r="L41" s="47"/>
      <c r="M41" s="49"/>
      <c r="N41" s="86"/>
    </row>
    <row r="42" spans="1:14" ht="30">
      <c r="A42" s="10"/>
      <c r="B42" s="73" t="s">
        <v>65</v>
      </c>
      <c r="C42" s="74" t="s">
        <v>0</v>
      </c>
      <c r="D42" s="155">
        <f>(7.4*2+3.5*2)*1</f>
        <v>21.8</v>
      </c>
      <c r="E42" s="188">
        <v>1</v>
      </c>
      <c r="F42" s="189">
        <v>10</v>
      </c>
      <c r="G42" s="190">
        <v>80</v>
      </c>
      <c r="H42" s="125"/>
      <c r="I42" s="117">
        <f t="shared" si="17"/>
        <v>90</v>
      </c>
      <c r="J42" s="48"/>
      <c r="K42" s="47">
        <f t="shared" si="18"/>
        <v>1962</v>
      </c>
      <c r="L42" s="47"/>
      <c r="M42" s="49"/>
      <c r="N42" s="86"/>
    </row>
    <row r="43" spans="1:14" ht="18.75">
      <c r="A43" s="10"/>
      <c r="B43" s="85" t="s">
        <v>44</v>
      </c>
      <c r="C43" s="74" t="s">
        <v>0</v>
      </c>
      <c r="D43" s="155">
        <f>D42</f>
        <v>21.8</v>
      </c>
      <c r="E43" s="188">
        <v>1</v>
      </c>
      <c r="F43" s="189">
        <v>6</v>
      </c>
      <c r="G43" s="155">
        <v>6.6</v>
      </c>
      <c r="H43" s="125"/>
      <c r="I43" s="117">
        <f t="shared" si="17"/>
        <v>12.6</v>
      </c>
      <c r="J43" s="48"/>
      <c r="K43" s="47">
        <f t="shared" si="18"/>
        <v>274.68</v>
      </c>
      <c r="L43" s="47"/>
      <c r="M43" s="49"/>
      <c r="N43" s="86"/>
    </row>
    <row r="44" spans="1:14" ht="18.75">
      <c r="A44" s="10"/>
      <c r="B44" s="66" t="s">
        <v>45</v>
      </c>
      <c r="C44" s="87" t="s">
        <v>2</v>
      </c>
      <c r="D44" s="155">
        <f>(6.6*2+2.9*2)</f>
        <v>19</v>
      </c>
      <c r="E44" s="188">
        <v>1</v>
      </c>
      <c r="F44" s="189">
        <v>1</v>
      </c>
      <c r="G44" s="190">
        <v>5</v>
      </c>
      <c r="H44" s="125"/>
      <c r="I44" s="117">
        <f t="shared" si="17"/>
        <v>6</v>
      </c>
      <c r="J44" s="48"/>
      <c r="K44" s="47">
        <f t="shared" si="18"/>
        <v>114</v>
      </c>
      <c r="L44" s="47"/>
      <c r="M44" s="49"/>
      <c r="N44" s="86"/>
    </row>
    <row r="45" spans="1:14" s="60" customFormat="1" ht="29.25" customHeight="1">
      <c r="A45" s="8"/>
      <c r="B45" s="88" t="s">
        <v>21</v>
      </c>
      <c r="C45" s="76"/>
      <c r="D45" s="195"/>
      <c r="E45" s="178"/>
      <c r="F45" s="160"/>
      <c r="G45" s="170"/>
      <c r="H45" s="170"/>
      <c r="I45" s="45"/>
      <c r="J45" s="6"/>
      <c r="K45" s="7"/>
      <c r="L45" s="7"/>
      <c r="M45" s="78">
        <f>SUM(L46:L60)</f>
        <v>61481.65</v>
      </c>
      <c r="N45" s="9"/>
    </row>
    <row r="46" spans="1:14" s="65" customFormat="1" ht="18.75">
      <c r="A46" s="14"/>
      <c r="B46" s="89" t="s">
        <v>32</v>
      </c>
      <c r="C46" s="80"/>
      <c r="D46" s="183"/>
      <c r="E46" s="179"/>
      <c r="F46" s="161"/>
      <c r="G46" s="171"/>
      <c r="H46" s="171"/>
      <c r="I46" s="39"/>
      <c r="J46" s="82"/>
      <c r="K46" s="83"/>
      <c r="L46" s="64">
        <f>SUM(K47:K48)</f>
        <v>4050</v>
      </c>
      <c r="M46" s="64"/>
      <c r="N46" s="84"/>
    </row>
    <row r="47" spans="1:14" ht="18.75">
      <c r="A47" s="10"/>
      <c r="B47" s="85" t="s">
        <v>63</v>
      </c>
      <c r="C47" s="74" t="s">
        <v>0</v>
      </c>
      <c r="D47" s="122">
        <f>2.5*4.25*2</f>
        <v>21.25</v>
      </c>
      <c r="E47" s="69">
        <v>1</v>
      </c>
      <c r="F47" s="40">
        <v>60</v>
      </c>
      <c r="G47" s="41">
        <v>60</v>
      </c>
      <c r="H47" s="125"/>
      <c r="I47" s="117">
        <f t="shared" ref="I47" si="19">SUM(F47:H47)*E47</f>
        <v>120</v>
      </c>
      <c r="J47" s="48"/>
      <c r="K47" s="47">
        <f t="shared" ref="K47:K48" si="20">D47*I47</f>
        <v>2550</v>
      </c>
      <c r="L47" s="47"/>
      <c r="M47" s="49"/>
      <c r="N47" s="86"/>
    </row>
    <row r="48" spans="1:14" ht="18.75">
      <c r="A48" s="10"/>
      <c r="B48" s="85" t="s">
        <v>139</v>
      </c>
      <c r="C48" s="74" t="s">
        <v>0</v>
      </c>
      <c r="D48" s="41">
        <f>2.5*4</f>
        <v>10</v>
      </c>
      <c r="E48" s="69">
        <v>1</v>
      </c>
      <c r="F48" s="40">
        <v>150</v>
      </c>
      <c r="G48" s="41"/>
      <c r="H48" s="125"/>
      <c r="I48" s="117">
        <f t="shared" ref="I48" si="21">SUM(F48:H48)*E48</f>
        <v>150</v>
      </c>
      <c r="J48" s="48"/>
      <c r="K48" s="47">
        <f t="shared" si="20"/>
        <v>1500</v>
      </c>
      <c r="L48" s="47"/>
      <c r="M48" s="49"/>
      <c r="N48" s="86"/>
    </row>
    <row r="49" spans="1:14" s="65" customFormat="1" ht="18.75">
      <c r="A49" s="14"/>
      <c r="B49" s="79" t="s">
        <v>134</v>
      </c>
      <c r="C49" s="80"/>
      <c r="D49" s="81"/>
      <c r="E49" s="179"/>
      <c r="F49" s="161"/>
      <c r="G49" s="171"/>
      <c r="H49" s="171"/>
      <c r="I49" s="117"/>
      <c r="J49" s="82"/>
      <c r="K49" s="83"/>
      <c r="L49" s="64">
        <f>SUM(K50:K51)</f>
        <v>5092.5</v>
      </c>
      <c r="M49" s="64"/>
      <c r="N49" s="84"/>
    </row>
    <row r="50" spans="1:14" ht="18.75">
      <c r="A50" s="10"/>
      <c r="B50" s="73" t="s">
        <v>132</v>
      </c>
      <c r="C50" s="74" t="s">
        <v>0</v>
      </c>
      <c r="D50" s="41">
        <f>2.5*3*3+(1.2*2+2.5*2)*4+(2.3*2+2.5*2)*4</f>
        <v>90.5</v>
      </c>
      <c r="E50" s="123">
        <v>1</v>
      </c>
      <c r="F50" s="124">
        <v>45</v>
      </c>
      <c r="G50" s="122"/>
      <c r="H50" s="125"/>
      <c r="I50" s="117">
        <f t="shared" ref="I50:I59" si="22">SUM(F50:H50)*E50</f>
        <v>45</v>
      </c>
      <c r="J50" s="48"/>
      <c r="K50" s="47">
        <f t="shared" ref="K50:K51" si="23">D50*I50</f>
        <v>4072.5</v>
      </c>
      <c r="L50" s="47"/>
      <c r="M50" s="49"/>
      <c r="N50" s="86"/>
    </row>
    <row r="51" spans="1:14" ht="18.75">
      <c r="A51" s="10"/>
      <c r="B51" s="73" t="s">
        <v>133</v>
      </c>
      <c r="C51" s="74" t="s">
        <v>0</v>
      </c>
      <c r="D51" s="41">
        <f>(1.2*2+2.5*2)*4+(2.3*2+2.5*2)*4</f>
        <v>68</v>
      </c>
      <c r="E51" s="123">
        <v>1</v>
      </c>
      <c r="F51" s="124">
        <v>15</v>
      </c>
      <c r="G51" s="172"/>
      <c r="H51" s="125"/>
      <c r="I51" s="117">
        <f t="shared" si="22"/>
        <v>15</v>
      </c>
      <c r="J51" s="48"/>
      <c r="K51" s="47">
        <f t="shared" si="23"/>
        <v>1020</v>
      </c>
      <c r="L51" s="47"/>
      <c r="M51" s="49"/>
      <c r="N51" s="86"/>
    </row>
    <row r="52" spans="1:14" s="65" customFormat="1" ht="18.75">
      <c r="A52" s="14"/>
      <c r="B52" s="79" t="s">
        <v>27</v>
      </c>
      <c r="C52" s="80"/>
      <c r="D52" s="81"/>
      <c r="E52" s="179"/>
      <c r="F52" s="161"/>
      <c r="G52" s="171"/>
      <c r="H52" s="171"/>
      <c r="I52" s="117"/>
      <c r="J52" s="82"/>
      <c r="K52" s="83"/>
      <c r="L52" s="64">
        <f>SUM(K53:K55)</f>
        <v>6390</v>
      </c>
      <c r="M52" s="64"/>
      <c r="N52" s="84"/>
    </row>
    <row r="53" spans="1:14" ht="18.75">
      <c r="A53" s="10"/>
      <c r="B53" s="73" t="s">
        <v>135</v>
      </c>
      <c r="C53" s="74" t="s">
        <v>0</v>
      </c>
      <c r="D53" s="41">
        <f>(1.2*2+2.5*2)*4+(2.3*2+2.5*2)*4</f>
        <v>68</v>
      </c>
      <c r="E53" s="123">
        <v>1</v>
      </c>
      <c r="F53" s="124">
        <v>15</v>
      </c>
      <c r="G53" s="122"/>
      <c r="H53" s="125"/>
      <c r="I53" s="117">
        <f t="shared" si="22"/>
        <v>15</v>
      </c>
      <c r="J53" s="48"/>
      <c r="K53" s="47">
        <f t="shared" ref="K53:K59" si="24">D53*I53</f>
        <v>1020</v>
      </c>
      <c r="L53" s="47"/>
      <c r="M53" s="49"/>
      <c r="N53" s="86"/>
    </row>
    <row r="54" spans="1:14" ht="18.75">
      <c r="A54" s="10"/>
      <c r="B54" s="73" t="s">
        <v>137</v>
      </c>
      <c r="C54" s="74" t="s">
        <v>0</v>
      </c>
      <c r="D54" s="41">
        <f>2.5*4*3</f>
        <v>30</v>
      </c>
      <c r="E54" s="123">
        <v>1</v>
      </c>
      <c r="F54" s="124">
        <v>65</v>
      </c>
      <c r="G54" s="172">
        <v>80</v>
      </c>
      <c r="H54" s="125"/>
      <c r="I54" s="117">
        <f t="shared" si="22"/>
        <v>145</v>
      </c>
      <c r="J54" s="48"/>
      <c r="K54" s="47">
        <f t="shared" si="24"/>
        <v>4350</v>
      </c>
      <c r="L54" s="47"/>
      <c r="M54" s="49"/>
      <c r="N54" s="86"/>
    </row>
    <row r="55" spans="1:14" ht="30">
      <c r="A55" s="10"/>
      <c r="B55" s="73" t="s">
        <v>203</v>
      </c>
      <c r="C55" s="74" t="s">
        <v>0</v>
      </c>
      <c r="D55" s="41">
        <f>(1.2*2+2.5*2)*4+(2.3*2+2.5*2)*4</f>
        <v>68</v>
      </c>
      <c r="E55" s="123">
        <v>1</v>
      </c>
      <c r="F55" s="124">
        <v>15</v>
      </c>
      <c r="G55" s="172"/>
      <c r="H55" s="125"/>
      <c r="I55" s="117">
        <f t="shared" si="22"/>
        <v>15</v>
      </c>
      <c r="J55" s="48"/>
      <c r="K55" s="47">
        <f t="shared" si="24"/>
        <v>1020</v>
      </c>
      <c r="L55" s="47"/>
      <c r="M55" s="49"/>
      <c r="N55" s="86"/>
    </row>
    <row r="56" spans="1:14" s="65" customFormat="1" ht="18.75">
      <c r="A56" s="14"/>
      <c r="B56" s="79" t="s">
        <v>28</v>
      </c>
      <c r="C56" s="80"/>
      <c r="D56" s="81"/>
      <c r="E56" s="179"/>
      <c r="F56" s="161"/>
      <c r="G56" s="171"/>
      <c r="H56" s="171"/>
      <c r="I56" s="117"/>
      <c r="J56" s="82"/>
      <c r="K56" s="83"/>
      <c r="L56" s="64">
        <f>SUM(K57:K60)</f>
        <v>45949.15</v>
      </c>
      <c r="M56" s="64"/>
      <c r="N56" s="84"/>
    </row>
    <row r="57" spans="1:14" ht="18.75">
      <c r="A57" s="10"/>
      <c r="B57" s="73" t="s">
        <v>135</v>
      </c>
      <c r="C57" s="74" t="s">
        <v>0</v>
      </c>
      <c r="D57" s="41">
        <f>5.75+3.1</f>
        <v>8.85</v>
      </c>
      <c r="E57" s="123">
        <v>1</v>
      </c>
      <c r="F57" s="124">
        <v>15</v>
      </c>
      <c r="G57" s="122"/>
      <c r="H57" s="125"/>
      <c r="I57" s="117">
        <f t="shared" si="22"/>
        <v>15</v>
      </c>
      <c r="J57" s="48"/>
      <c r="K57" s="47">
        <f t="shared" si="24"/>
        <v>132.75</v>
      </c>
      <c r="L57" s="47"/>
      <c r="M57" s="49"/>
      <c r="N57" s="86"/>
    </row>
    <row r="58" spans="1:14" ht="18.75">
      <c r="A58" s="10"/>
      <c r="B58" s="73" t="s">
        <v>204</v>
      </c>
      <c r="C58" s="74" t="s">
        <v>0</v>
      </c>
      <c r="D58" s="41">
        <v>6.16</v>
      </c>
      <c r="E58" s="123">
        <v>1</v>
      </c>
      <c r="F58" s="124">
        <v>15</v>
      </c>
      <c r="G58" s="172"/>
      <c r="H58" s="125"/>
      <c r="I58" s="117">
        <f t="shared" si="22"/>
        <v>15</v>
      </c>
      <c r="J58" s="48"/>
      <c r="K58" s="47">
        <f t="shared" si="24"/>
        <v>92.4</v>
      </c>
      <c r="L58" s="47"/>
      <c r="M58" s="49"/>
      <c r="N58" s="86"/>
    </row>
    <row r="59" spans="1:14" ht="18.75">
      <c r="A59" s="10"/>
      <c r="B59" s="73" t="s">
        <v>205</v>
      </c>
      <c r="C59" s="74" t="s">
        <v>0</v>
      </c>
      <c r="D59" s="41">
        <v>6.16</v>
      </c>
      <c r="E59" s="123">
        <v>1</v>
      </c>
      <c r="F59" s="124">
        <v>150</v>
      </c>
      <c r="G59" s="172"/>
      <c r="H59" s="125"/>
      <c r="I59" s="117">
        <f t="shared" si="22"/>
        <v>150</v>
      </c>
      <c r="J59" s="48"/>
      <c r="K59" s="47">
        <f t="shared" si="24"/>
        <v>924</v>
      </c>
      <c r="L59" s="47"/>
      <c r="M59" s="49"/>
      <c r="N59" s="86"/>
    </row>
    <row r="60" spans="1:14" ht="18.75">
      <c r="A60" s="10"/>
      <c r="B60" s="73" t="s">
        <v>143</v>
      </c>
      <c r="C60" s="74" t="s">
        <v>0</v>
      </c>
      <c r="D60" s="41">
        <v>128</v>
      </c>
      <c r="E60" s="123">
        <v>1</v>
      </c>
      <c r="F60" s="124">
        <v>150</v>
      </c>
      <c r="G60" s="172">
        <v>200</v>
      </c>
      <c r="H60" s="125"/>
      <c r="I60" s="117">
        <f>SUM(F60:H60)*E60</f>
        <v>350</v>
      </c>
      <c r="J60" s="48"/>
      <c r="K60" s="47">
        <f>D60*I60</f>
        <v>44800</v>
      </c>
      <c r="L60" s="47"/>
      <c r="M60" s="49"/>
      <c r="N60" s="86"/>
    </row>
    <row r="61" spans="1:14" s="60" customFormat="1" ht="18">
      <c r="A61" s="8"/>
      <c r="B61" s="91" t="s">
        <v>20</v>
      </c>
      <c r="C61" s="76"/>
      <c r="D61" s="77"/>
      <c r="E61" s="178"/>
      <c r="F61" s="160"/>
      <c r="G61" s="170"/>
      <c r="H61" s="170"/>
      <c r="I61" s="45"/>
      <c r="J61" s="6"/>
      <c r="K61" s="7"/>
      <c r="L61" s="7"/>
      <c r="M61" s="78">
        <f>SUM(L62:L68)</f>
        <v>20563.099999999999</v>
      </c>
      <c r="N61" s="9"/>
    </row>
    <row r="62" spans="1:14" s="65" customFormat="1" ht="18.75">
      <c r="A62" s="14"/>
      <c r="B62" s="89" t="s">
        <v>40</v>
      </c>
      <c r="C62" s="80"/>
      <c r="D62" s="81"/>
      <c r="E62" s="179"/>
      <c r="F62" s="161"/>
      <c r="G62" s="171"/>
      <c r="H62" s="171"/>
      <c r="I62" s="39"/>
      <c r="J62" s="82"/>
      <c r="K62" s="83"/>
      <c r="L62" s="64">
        <f>SUM(K63:K66)</f>
        <v>3004.8999999999996</v>
      </c>
      <c r="M62" s="64"/>
      <c r="N62" s="84"/>
    </row>
    <row r="63" spans="1:14" ht="18.75">
      <c r="A63" s="10"/>
      <c r="B63" s="73" t="s">
        <v>41</v>
      </c>
      <c r="C63" s="74" t="s">
        <v>0</v>
      </c>
      <c r="D63" s="41">
        <f>6.25+3.1+5.75</f>
        <v>15.1</v>
      </c>
      <c r="E63" s="123">
        <v>1</v>
      </c>
      <c r="F63" s="124">
        <v>1</v>
      </c>
      <c r="G63" s="125">
        <v>2.5</v>
      </c>
      <c r="H63" s="125"/>
      <c r="I63" s="117">
        <f>SUM(F63:H63)*E63</f>
        <v>3.5</v>
      </c>
      <c r="J63" s="48"/>
      <c r="K63" s="47">
        <f>D63*I63</f>
        <v>52.85</v>
      </c>
      <c r="L63" s="47"/>
      <c r="M63" s="49"/>
      <c r="N63" s="86"/>
    </row>
    <row r="64" spans="1:14" ht="18.75">
      <c r="A64" s="10"/>
      <c r="B64" s="73" t="s">
        <v>190</v>
      </c>
      <c r="C64" s="74" t="s">
        <v>0</v>
      </c>
      <c r="D64" s="41">
        <f>D63</f>
        <v>15.1</v>
      </c>
      <c r="E64" s="123">
        <v>1</v>
      </c>
      <c r="F64" s="124">
        <v>2</v>
      </c>
      <c r="G64" s="125">
        <f>400*0.25</f>
        <v>100</v>
      </c>
      <c r="H64" s="125"/>
      <c r="I64" s="117">
        <f t="shared" ref="I64:I66" si="25">SUM(F64:H64)*E64</f>
        <v>102</v>
      </c>
      <c r="J64" s="48"/>
      <c r="K64" s="47">
        <f t="shared" ref="K64:K66" si="26">D64*I64</f>
        <v>1540.2</v>
      </c>
      <c r="L64" s="47"/>
      <c r="M64" s="49"/>
      <c r="N64" s="86"/>
    </row>
    <row r="65" spans="1:14" ht="18.75">
      <c r="A65" s="10"/>
      <c r="B65" s="73" t="s">
        <v>41</v>
      </c>
      <c r="C65" s="74" t="s">
        <v>0</v>
      </c>
      <c r="D65" s="41">
        <f>D64</f>
        <v>15.1</v>
      </c>
      <c r="E65" s="123">
        <v>1</v>
      </c>
      <c r="F65" s="124">
        <v>1</v>
      </c>
      <c r="G65" s="125">
        <v>2.5</v>
      </c>
      <c r="H65" s="125"/>
      <c r="I65" s="117">
        <f t="shared" si="25"/>
        <v>3.5</v>
      </c>
      <c r="J65" s="48"/>
      <c r="K65" s="47">
        <f t="shared" si="26"/>
        <v>52.85</v>
      </c>
      <c r="L65" s="47"/>
      <c r="M65" s="49"/>
      <c r="N65" s="86"/>
    </row>
    <row r="66" spans="1:14" ht="36.75" customHeight="1">
      <c r="A66" s="10"/>
      <c r="B66" s="73" t="s">
        <v>191</v>
      </c>
      <c r="C66" s="74" t="s">
        <v>0</v>
      </c>
      <c r="D66" s="41">
        <f>D65</f>
        <v>15.1</v>
      </c>
      <c r="E66" s="123">
        <v>1</v>
      </c>
      <c r="F66" s="124">
        <v>15</v>
      </c>
      <c r="G66" s="125">
        <v>75</v>
      </c>
      <c r="H66" s="125"/>
      <c r="I66" s="117">
        <f t="shared" si="25"/>
        <v>90</v>
      </c>
      <c r="J66" s="48"/>
      <c r="K66" s="47">
        <f t="shared" si="26"/>
        <v>1359</v>
      </c>
      <c r="L66" s="47"/>
      <c r="M66" s="49"/>
      <c r="N66" s="86"/>
    </row>
    <row r="67" spans="1:14" s="65" customFormat="1" ht="18.75">
      <c r="A67" s="14"/>
      <c r="B67" s="79" t="s">
        <v>29</v>
      </c>
      <c r="C67" s="80"/>
      <c r="D67" s="81"/>
      <c r="E67" s="179"/>
      <c r="F67" s="161"/>
      <c r="G67" s="171"/>
      <c r="H67" s="171"/>
      <c r="I67" s="39"/>
      <c r="J67" s="82"/>
      <c r="K67" s="83"/>
      <c r="L67" s="64">
        <f>SUM(K68:K72)</f>
        <v>17558.2</v>
      </c>
      <c r="M67" s="64"/>
      <c r="N67" s="84"/>
    </row>
    <row r="68" spans="1:14" ht="18.75">
      <c r="A68" s="10"/>
      <c r="B68" s="73" t="s">
        <v>66</v>
      </c>
      <c r="C68" s="74" t="s">
        <v>0</v>
      </c>
      <c r="D68" s="41">
        <v>6.16</v>
      </c>
      <c r="E68" s="123">
        <v>1</v>
      </c>
      <c r="F68" s="124">
        <v>65</v>
      </c>
      <c r="G68" s="122">
        <v>80</v>
      </c>
      <c r="H68" s="125"/>
      <c r="I68" s="117">
        <f t="shared" ref="I68:I71" si="27">SUM(F68:H68)*E68</f>
        <v>145</v>
      </c>
      <c r="J68" s="48"/>
      <c r="K68" s="47">
        <f t="shared" ref="K68:K72" si="28">D68*I68</f>
        <v>893.2</v>
      </c>
      <c r="L68" s="47"/>
      <c r="M68" s="49"/>
      <c r="N68" s="86"/>
    </row>
    <row r="69" spans="1:14" ht="18.75">
      <c r="A69" s="10"/>
      <c r="B69" s="73" t="s">
        <v>67</v>
      </c>
      <c r="C69" s="74" t="s">
        <v>0</v>
      </c>
      <c r="D69" s="41">
        <f>3.1+5.75</f>
        <v>8.85</v>
      </c>
      <c r="E69" s="123">
        <v>1</v>
      </c>
      <c r="F69" s="124">
        <v>65</v>
      </c>
      <c r="G69" s="125">
        <v>35</v>
      </c>
      <c r="H69" s="125"/>
      <c r="I69" s="117">
        <f t="shared" si="27"/>
        <v>100</v>
      </c>
      <c r="J69" s="48"/>
      <c r="K69" s="47">
        <f t="shared" si="28"/>
        <v>885</v>
      </c>
      <c r="L69" s="47"/>
      <c r="M69" s="49"/>
      <c r="N69" s="86"/>
    </row>
    <row r="70" spans="1:14" ht="18.75">
      <c r="A70" s="10"/>
      <c r="B70" s="73" t="s">
        <v>43</v>
      </c>
      <c r="C70" s="74" t="s">
        <v>2</v>
      </c>
      <c r="D70" s="41">
        <f>1.2*2+2.3*2+2.5*4</f>
        <v>17</v>
      </c>
      <c r="E70" s="123">
        <v>1</v>
      </c>
      <c r="F70" s="124">
        <v>25</v>
      </c>
      <c r="G70" s="125">
        <v>15</v>
      </c>
      <c r="H70" s="125"/>
      <c r="I70" s="117">
        <f t="shared" si="27"/>
        <v>40</v>
      </c>
      <c r="J70" s="48"/>
      <c r="K70" s="47">
        <f t="shared" si="28"/>
        <v>680</v>
      </c>
      <c r="L70" s="47"/>
      <c r="M70" s="49"/>
      <c r="N70" s="86"/>
    </row>
    <row r="71" spans="1:14" ht="18.75">
      <c r="A71" s="10"/>
      <c r="B71" s="73" t="s">
        <v>100</v>
      </c>
      <c r="C71" s="87" t="s">
        <v>0</v>
      </c>
      <c r="D71" s="181">
        <v>128</v>
      </c>
      <c r="E71" s="123">
        <v>1</v>
      </c>
      <c r="F71" s="124">
        <v>20</v>
      </c>
      <c r="G71" s="125">
        <v>80</v>
      </c>
      <c r="H71" s="125"/>
      <c r="I71" s="117">
        <f t="shared" si="27"/>
        <v>100</v>
      </c>
      <c r="J71" s="48"/>
      <c r="K71" s="47">
        <f t="shared" si="28"/>
        <v>12800</v>
      </c>
      <c r="L71" s="47"/>
      <c r="M71" s="49"/>
      <c r="N71" s="86"/>
    </row>
    <row r="72" spans="1:14" ht="18.75">
      <c r="A72" s="10"/>
      <c r="B72" s="73" t="s">
        <v>148</v>
      </c>
      <c r="C72" s="87" t="s">
        <v>73</v>
      </c>
      <c r="D72" s="181">
        <v>50</v>
      </c>
      <c r="E72" s="123">
        <v>1</v>
      </c>
      <c r="F72" s="124">
        <v>10</v>
      </c>
      <c r="G72" s="125">
        <v>36</v>
      </c>
      <c r="H72" s="125"/>
      <c r="I72" s="117">
        <f t="shared" ref="I72:I88" si="29">SUM(F72:H72)*E72</f>
        <v>46</v>
      </c>
      <c r="J72" s="48"/>
      <c r="K72" s="47">
        <f t="shared" si="28"/>
        <v>2300</v>
      </c>
      <c r="L72" s="47"/>
      <c r="M72" s="49"/>
      <c r="N72" s="86"/>
    </row>
    <row r="73" spans="1:14" s="60" customFormat="1" ht="18">
      <c r="A73" s="8"/>
      <c r="B73" s="92" t="s">
        <v>23</v>
      </c>
      <c r="C73" s="76"/>
      <c r="D73" s="77"/>
      <c r="E73" s="178"/>
      <c r="F73" s="160"/>
      <c r="G73" s="170"/>
      <c r="H73" s="170"/>
      <c r="I73" s="45"/>
      <c r="J73" s="6"/>
      <c r="K73" s="7"/>
      <c r="L73" s="7"/>
      <c r="M73" s="78">
        <f>SUM(L74:L88)</f>
        <v>71222</v>
      </c>
      <c r="N73" s="120"/>
    </row>
    <row r="74" spans="1:14" s="65" customFormat="1" ht="18.75">
      <c r="A74" s="14"/>
      <c r="B74" s="79" t="s">
        <v>154</v>
      </c>
      <c r="C74" s="80"/>
      <c r="D74" s="81">
        <f>D75</f>
        <v>136</v>
      </c>
      <c r="E74" s="179"/>
      <c r="F74" s="161"/>
      <c r="G74" s="171"/>
      <c r="H74" s="171"/>
      <c r="I74" s="117">
        <f t="shared" ref="I74" si="30">SUM(F74:H74)*E74</f>
        <v>0</v>
      </c>
      <c r="J74" s="82"/>
      <c r="K74" s="83"/>
      <c r="L74" s="64">
        <f>SUM(K75:K76)</f>
        <v>10880</v>
      </c>
      <c r="M74" s="64"/>
      <c r="N74" s="84"/>
    </row>
    <row r="75" spans="1:14" ht="18.75">
      <c r="A75" s="10"/>
      <c r="B75" s="73" t="s">
        <v>71</v>
      </c>
      <c r="C75" s="74" t="s">
        <v>0</v>
      </c>
      <c r="D75" s="41">
        <f>16+120</f>
        <v>136</v>
      </c>
      <c r="E75" s="123">
        <v>1</v>
      </c>
      <c r="F75" s="124">
        <v>45</v>
      </c>
      <c r="G75" s="125"/>
      <c r="H75" s="125"/>
      <c r="I75" s="117">
        <f t="shared" si="29"/>
        <v>45</v>
      </c>
      <c r="J75" s="48"/>
      <c r="K75" s="47">
        <f t="shared" ref="K75:K84" si="31">D75*I75</f>
        <v>6120</v>
      </c>
      <c r="L75" s="47"/>
      <c r="M75" s="49"/>
      <c r="N75" s="182"/>
    </row>
    <row r="76" spans="1:14" ht="18.75">
      <c r="A76" s="10"/>
      <c r="B76" s="73" t="s">
        <v>72</v>
      </c>
      <c r="C76" s="74" t="s">
        <v>0</v>
      </c>
      <c r="D76" s="41">
        <f>D75</f>
        <v>136</v>
      </c>
      <c r="E76" s="123">
        <v>1</v>
      </c>
      <c r="F76" s="124">
        <v>35</v>
      </c>
      <c r="G76" s="125"/>
      <c r="H76" s="125"/>
      <c r="I76" s="117">
        <f t="shared" si="29"/>
        <v>35</v>
      </c>
      <c r="J76" s="48"/>
      <c r="K76" s="47">
        <f t="shared" si="31"/>
        <v>4760</v>
      </c>
      <c r="L76" s="47"/>
      <c r="M76" s="49"/>
      <c r="N76" s="182"/>
    </row>
    <row r="77" spans="1:14" s="65" customFormat="1" ht="18.75">
      <c r="A77" s="14"/>
      <c r="B77" s="79" t="s">
        <v>46</v>
      </c>
      <c r="C77" s="80"/>
      <c r="D77" s="81">
        <f>D78</f>
        <v>120</v>
      </c>
      <c r="E77" s="179"/>
      <c r="F77" s="161"/>
      <c r="G77" s="171"/>
      <c r="H77" s="171"/>
      <c r="I77" s="117">
        <f t="shared" si="29"/>
        <v>0</v>
      </c>
      <c r="J77" s="82"/>
      <c r="K77" s="83"/>
      <c r="L77" s="64">
        <f>SUM(K78:K84)</f>
        <v>54270</v>
      </c>
      <c r="M77" s="64"/>
      <c r="N77" s="84"/>
    </row>
    <row r="78" spans="1:14" ht="18.75">
      <c r="A78" s="10"/>
      <c r="B78" s="73" t="s">
        <v>68</v>
      </c>
      <c r="C78" s="74" t="s">
        <v>0</v>
      </c>
      <c r="D78" s="41">
        <v>120</v>
      </c>
      <c r="E78" s="123">
        <v>1</v>
      </c>
      <c r="F78" s="124">
        <v>40</v>
      </c>
      <c r="G78" s="125">
        <v>35</v>
      </c>
      <c r="H78" s="125"/>
      <c r="I78" s="117">
        <f t="shared" si="29"/>
        <v>75</v>
      </c>
      <c r="J78" s="48"/>
      <c r="K78" s="47">
        <f t="shared" si="31"/>
        <v>9000</v>
      </c>
      <c r="L78" s="47"/>
      <c r="M78" s="49"/>
      <c r="N78" s="86"/>
    </row>
    <row r="79" spans="1:14" ht="18.75">
      <c r="A79" s="10"/>
      <c r="B79" s="73" t="s">
        <v>69</v>
      </c>
      <c r="C79" s="74" t="s">
        <v>0</v>
      </c>
      <c r="D79" s="41">
        <f>D78</f>
        <v>120</v>
      </c>
      <c r="E79" s="123">
        <v>1</v>
      </c>
      <c r="F79" s="124">
        <v>1</v>
      </c>
      <c r="G79" s="125">
        <v>2.5</v>
      </c>
      <c r="H79" s="125"/>
      <c r="I79" s="117">
        <f t="shared" si="29"/>
        <v>3.5</v>
      </c>
      <c r="J79" s="48"/>
      <c r="K79" s="47">
        <f t="shared" si="31"/>
        <v>420</v>
      </c>
      <c r="L79" s="47"/>
      <c r="M79" s="49"/>
      <c r="N79" s="90"/>
    </row>
    <row r="80" spans="1:14" ht="18.75">
      <c r="A80" s="10"/>
      <c r="B80" s="73" t="s">
        <v>70</v>
      </c>
      <c r="C80" s="74" t="s">
        <v>0</v>
      </c>
      <c r="D80" s="41">
        <f>D79</f>
        <v>120</v>
      </c>
      <c r="E80" s="123">
        <v>1</v>
      </c>
      <c r="F80" s="124">
        <v>20</v>
      </c>
      <c r="G80" s="125">
        <v>25</v>
      </c>
      <c r="H80" s="125"/>
      <c r="I80" s="117">
        <f t="shared" si="29"/>
        <v>45</v>
      </c>
      <c r="J80" s="48"/>
      <c r="K80" s="47">
        <f t="shared" si="31"/>
        <v>5400</v>
      </c>
      <c r="L80" s="47"/>
      <c r="M80" s="49"/>
      <c r="N80" s="90"/>
    </row>
    <row r="81" spans="1:14" ht="23.25" customHeight="1">
      <c r="A81" s="10"/>
      <c r="B81" s="73" t="s">
        <v>192</v>
      </c>
      <c r="C81" s="74" t="s">
        <v>0</v>
      </c>
      <c r="D81" s="41">
        <f>D80*0.25</f>
        <v>30</v>
      </c>
      <c r="E81" s="123">
        <v>1</v>
      </c>
      <c r="F81" s="124">
        <v>20</v>
      </c>
      <c r="G81" s="125">
        <f>G80</f>
        <v>25</v>
      </c>
      <c r="H81" s="125"/>
      <c r="I81" s="117">
        <f t="shared" ref="I81" si="32">SUM(F81:H81)*E81</f>
        <v>45</v>
      </c>
      <c r="J81" s="48"/>
      <c r="K81" s="47">
        <f t="shared" si="31"/>
        <v>1350</v>
      </c>
      <c r="L81" s="47"/>
      <c r="M81" s="49"/>
      <c r="N81" s="86"/>
    </row>
    <row r="82" spans="1:14" ht="18.75">
      <c r="A82" s="10"/>
      <c r="B82" s="73" t="s">
        <v>149</v>
      </c>
      <c r="C82" s="74" t="s">
        <v>74</v>
      </c>
      <c r="D82" s="41">
        <v>2</v>
      </c>
      <c r="E82" s="123">
        <v>1</v>
      </c>
      <c r="F82" s="124">
        <v>700</v>
      </c>
      <c r="G82" s="125"/>
      <c r="H82" s="125"/>
      <c r="I82" s="117">
        <f t="shared" si="29"/>
        <v>700</v>
      </c>
      <c r="J82" s="48"/>
      <c r="K82" s="47">
        <f t="shared" si="31"/>
        <v>1400</v>
      </c>
      <c r="L82" s="47"/>
      <c r="M82" s="49"/>
      <c r="N82" s="90"/>
    </row>
    <row r="83" spans="1:14" ht="18.75">
      <c r="A83" s="10"/>
      <c r="B83" s="73" t="s">
        <v>150</v>
      </c>
      <c r="C83" s="74" t="s">
        <v>73</v>
      </c>
      <c r="D83" s="41">
        <v>10</v>
      </c>
      <c r="E83" s="123">
        <v>1</v>
      </c>
      <c r="F83" s="124">
        <v>100</v>
      </c>
      <c r="G83" s="125"/>
      <c r="H83" s="125"/>
      <c r="I83" s="117">
        <f t="shared" si="29"/>
        <v>100</v>
      </c>
      <c r="J83" s="48"/>
      <c r="K83" s="47">
        <f t="shared" si="31"/>
        <v>1000</v>
      </c>
      <c r="L83" s="47"/>
      <c r="M83" s="49"/>
      <c r="N83" s="86"/>
    </row>
    <row r="84" spans="1:14" ht="18.75">
      <c r="A84" s="10"/>
      <c r="B84" s="73" t="s">
        <v>151</v>
      </c>
      <c r="C84" s="74" t="s">
        <v>73</v>
      </c>
      <c r="D84" s="41">
        <f>6.4*2+19.1*2</f>
        <v>51</v>
      </c>
      <c r="E84" s="123">
        <v>1</v>
      </c>
      <c r="F84" s="124">
        <v>700</v>
      </c>
      <c r="G84" s="125"/>
      <c r="H84" s="125"/>
      <c r="I84" s="117">
        <f t="shared" si="29"/>
        <v>700</v>
      </c>
      <c r="J84" s="48"/>
      <c r="K84" s="47">
        <f t="shared" si="31"/>
        <v>35700</v>
      </c>
      <c r="L84" s="47"/>
      <c r="M84" s="49"/>
      <c r="N84" s="86"/>
    </row>
    <row r="85" spans="1:14" s="65" customFormat="1" ht="18.75">
      <c r="A85" s="14"/>
      <c r="B85" s="79" t="s">
        <v>47</v>
      </c>
      <c r="C85" s="80"/>
      <c r="D85" s="81"/>
      <c r="E85" s="179"/>
      <c r="F85" s="161"/>
      <c r="G85" s="171"/>
      <c r="H85" s="171"/>
      <c r="I85" s="117">
        <f t="shared" si="29"/>
        <v>0</v>
      </c>
      <c r="J85" s="82"/>
      <c r="K85" s="83"/>
      <c r="L85" s="64">
        <f>SUM(K86:K88)</f>
        <v>6072</v>
      </c>
      <c r="M85" s="64"/>
      <c r="N85" s="84"/>
    </row>
    <row r="86" spans="1:14" ht="18.75">
      <c r="A86" s="10"/>
      <c r="B86" s="73" t="s">
        <v>193</v>
      </c>
      <c r="C86" s="74" t="s">
        <v>0</v>
      </c>
      <c r="D86" s="41">
        <v>16</v>
      </c>
      <c r="E86" s="123">
        <v>1</v>
      </c>
      <c r="F86" s="124">
        <v>20</v>
      </c>
      <c r="G86" s="125">
        <f>750*0.14*1.2</f>
        <v>126.00000000000001</v>
      </c>
      <c r="H86" s="125"/>
      <c r="I86" s="117">
        <f t="shared" si="29"/>
        <v>146</v>
      </c>
      <c r="J86" s="48"/>
      <c r="K86" s="47">
        <f t="shared" ref="K86:K88" si="33">D86*I86</f>
        <v>2336</v>
      </c>
      <c r="L86" s="47"/>
      <c r="M86" s="49"/>
      <c r="N86" s="86"/>
    </row>
    <row r="87" spans="1:14" ht="33.75" customHeight="1">
      <c r="A87" s="10"/>
      <c r="B87" s="73" t="s">
        <v>152</v>
      </c>
      <c r="C87" s="74" t="s">
        <v>0</v>
      </c>
      <c r="D87" s="41">
        <v>16</v>
      </c>
      <c r="E87" s="123">
        <v>1</v>
      </c>
      <c r="F87" s="124">
        <v>20</v>
      </c>
      <c r="G87" s="125">
        <f>G86</f>
        <v>126.00000000000001</v>
      </c>
      <c r="H87" s="125"/>
      <c r="I87" s="117">
        <f t="shared" si="29"/>
        <v>146</v>
      </c>
      <c r="J87" s="48"/>
      <c r="K87" s="47">
        <f t="shared" si="33"/>
        <v>2336</v>
      </c>
      <c r="L87" s="47"/>
      <c r="M87" s="49"/>
      <c r="N87" s="86"/>
    </row>
    <row r="88" spans="1:14" ht="18.75">
      <c r="A88" s="10"/>
      <c r="B88" s="73" t="s">
        <v>194</v>
      </c>
      <c r="C88" s="74" t="s">
        <v>74</v>
      </c>
      <c r="D88" s="41">
        <v>2</v>
      </c>
      <c r="E88" s="123">
        <v>1</v>
      </c>
      <c r="F88" s="124">
        <v>700</v>
      </c>
      <c r="G88" s="125"/>
      <c r="H88" s="125"/>
      <c r="I88" s="117">
        <f t="shared" si="29"/>
        <v>700</v>
      </c>
      <c r="J88" s="48"/>
      <c r="K88" s="47">
        <f t="shared" si="33"/>
        <v>1400</v>
      </c>
      <c r="L88" s="47"/>
      <c r="M88" s="49"/>
      <c r="N88" s="90"/>
    </row>
    <row r="89" spans="1:14" s="60" customFormat="1" ht="18">
      <c r="A89" s="8"/>
      <c r="B89" s="92" t="s">
        <v>16</v>
      </c>
      <c r="C89" s="76"/>
      <c r="D89" s="77"/>
      <c r="E89" s="178"/>
      <c r="F89" s="160"/>
      <c r="G89" s="170"/>
      <c r="H89" s="170"/>
      <c r="I89" s="45"/>
      <c r="J89" s="6"/>
      <c r="K89" s="7"/>
      <c r="L89" s="7"/>
      <c r="M89" s="78">
        <f>SUM(L90:L102)</f>
        <v>223697.5</v>
      </c>
      <c r="N89" s="120"/>
    </row>
    <row r="90" spans="1:14" s="65" customFormat="1" ht="31.5">
      <c r="A90" s="14"/>
      <c r="B90" s="79" t="s">
        <v>155</v>
      </c>
      <c r="C90" s="80"/>
      <c r="D90" s="81"/>
      <c r="E90" s="179"/>
      <c r="F90" s="161"/>
      <c r="G90" s="173"/>
      <c r="H90" s="171"/>
      <c r="I90" s="39"/>
      <c r="J90" s="82"/>
      <c r="K90" s="83"/>
      <c r="L90" s="64">
        <f>SUM(K91:K92)</f>
        <v>120937.5</v>
      </c>
      <c r="M90" s="64"/>
      <c r="N90" s="84"/>
    </row>
    <row r="91" spans="1:14" ht="30">
      <c r="A91" s="10"/>
      <c r="B91" s="85" t="s">
        <v>108</v>
      </c>
      <c r="C91" s="74" t="s">
        <v>0</v>
      </c>
      <c r="D91" s="41">
        <v>150</v>
      </c>
      <c r="E91" s="123">
        <v>1</v>
      </c>
      <c r="F91" s="124">
        <v>650</v>
      </c>
      <c r="G91" s="125"/>
      <c r="H91" s="125"/>
      <c r="I91" s="117">
        <f t="shared" ref="I91:I99" si="34">SUM(F91:H91)*E91</f>
        <v>650</v>
      </c>
      <c r="J91" s="48"/>
      <c r="K91" s="47">
        <f t="shared" ref="K91:K92" si="35">D91*I91</f>
        <v>97500</v>
      </c>
      <c r="L91" s="47"/>
      <c r="M91" s="49"/>
      <c r="N91" s="90"/>
    </row>
    <row r="92" spans="1:14" ht="18.75">
      <c r="A92" s="10"/>
      <c r="B92" s="85" t="s">
        <v>153</v>
      </c>
      <c r="C92" s="74" t="s">
        <v>0</v>
      </c>
      <c r="D92" s="41">
        <v>150</v>
      </c>
      <c r="E92" s="123">
        <v>1</v>
      </c>
      <c r="F92" s="124">
        <v>25</v>
      </c>
      <c r="G92" s="125">
        <f>350*0.25*1.5</f>
        <v>131.25</v>
      </c>
      <c r="H92" s="125"/>
      <c r="I92" s="117">
        <f t="shared" si="34"/>
        <v>156.25</v>
      </c>
      <c r="J92" s="48"/>
      <c r="K92" s="47">
        <f t="shared" si="35"/>
        <v>23437.5</v>
      </c>
      <c r="L92" s="47"/>
      <c r="M92" s="49"/>
      <c r="N92" s="90"/>
    </row>
    <row r="93" spans="1:14" s="65" customFormat="1" ht="18.75">
      <c r="A93" s="14"/>
      <c r="B93" s="79" t="s">
        <v>156</v>
      </c>
      <c r="C93" s="80"/>
      <c r="D93" s="81"/>
      <c r="E93" s="179"/>
      <c r="F93" s="161"/>
      <c r="G93" s="173"/>
      <c r="H93" s="171"/>
      <c r="I93" s="117">
        <f t="shared" si="34"/>
        <v>0</v>
      </c>
      <c r="J93" s="82"/>
      <c r="K93" s="83"/>
      <c r="L93" s="64">
        <f>SUM(K94:K95)</f>
        <v>0</v>
      </c>
      <c r="M93" s="64"/>
      <c r="N93" s="84"/>
    </row>
    <row r="94" spans="1:14" ht="30">
      <c r="A94" s="10"/>
      <c r="B94" s="85" t="s">
        <v>108</v>
      </c>
      <c r="C94" s="74" t="s">
        <v>0</v>
      </c>
      <c r="D94" s="41">
        <v>150</v>
      </c>
      <c r="E94" s="123">
        <v>0</v>
      </c>
      <c r="F94" s="124">
        <v>350</v>
      </c>
      <c r="G94" s="125"/>
      <c r="H94" s="125"/>
      <c r="I94" s="117">
        <f t="shared" si="34"/>
        <v>0</v>
      </c>
      <c r="J94" s="48"/>
      <c r="K94" s="47">
        <f t="shared" ref="K94:K95" si="36">D94*I94</f>
        <v>0</v>
      </c>
      <c r="L94" s="47"/>
      <c r="M94" s="49"/>
      <c r="N94" s="90"/>
    </row>
    <row r="95" spans="1:14" ht="18.75">
      <c r="A95" s="10"/>
      <c r="B95" s="85" t="s">
        <v>157</v>
      </c>
      <c r="C95" s="74" t="s">
        <v>0</v>
      </c>
      <c r="D95" s="41">
        <v>150</v>
      </c>
      <c r="E95" s="123">
        <v>0</v>
      </c>
      <c r="F95" s="124">
        <v>25</v>
      </c>
      <c r="G95" s="125">
        <f>750*0.1</f>
        <v>75</v>
      </c>
      <c r="H95" s="125"/>
      <c r="I95" s="117">
        <f t="shared" si="34"/>
        <v>0</v>
      </c>
      <c r="J95" s="48"/>
      <c r="K95" s="47">
        <f t="shared" si="36"/>
        <v>0</v>
      </c>
      <c r="L95" s="47"/>
      <c r="M95" s="49"/>
      <c r="N95" s="90"/>
    </row>
    <row r="96" spans="1:14" s="65" customFormat="1" ht="18.75">
      <c r="A96" s="14"/>
      <c r="B96" s="79" t="s">
        <v>160</v>
      </c>
      <c r="C96" s="80"/>
      <c r="D96" s="81"/>
      <c r="E96" s="179"/>
      <c r="F96" s="161"/>
      <c r="G96" s="173"/>
      <c r="H96" s="171"/>
      <c r="I96" s="117">
        <f t="shared" si="34"/>
        <v>0</v>
      </c>
      <c r="J96" s="82"/>
      <c r="K96" s="83"/>
      <c r="L96" s="64">
        <f>SUM(K97:K99)</f>
        <v>69400</v>
      </c>
      <c r="M96" s="64"/>
      <c r="N96" s="84"/>
    </row>
    <row r="97" spans="1:14" ht="18.75">
      <c r="A97" s="10"/>
      <c r="B97" s="85" t="s">
        <v>196</v>
      </c>
      <c r="C97" s="74" t="s">
        <v>74</v>
      </c>
      <c r="D97" s="41">
        <v>2</v>
      </c>
      <c r="E97" s="123">
        <v>1</v>
      </c>
      <c r="F97" s="124">
        <v>4500</v>
      </c>
      <c r="G97" s="125"/>
      <c r="H97" s="125"/>
      <c r="I97" s="117">
        <f t="shared" si="34"/>
        <v>4500</v>
      </c>
      <c r="J97" s="48"/>
      <c r="K97" s="47">
        <f t="shared" ref="K97:K99" si="37">D97*I97</f>
        <v>9000</v>
      </c>
      <c r="L97" s="47"/>
      <c r="M97" s="49"/>
      <c r="N97" s="90"/>
    </row>
    <row r="98" spans="1:14" ht="18.75">
      <c r="A98" s="10"/>
      <c r="B98" s="85" t="s">
        <v>197</v>
      </c>
      <c r="C98" s="74" t="s">
        <v>74</v>
      </c>
      <c r="D98" s="41">
        <v>1</v>
      </c>
      <c r="E98" s="123">
        <v>1</v>
      </c>
      <c r="F98" s="124">
        <f>4500+700</f>
        <v>5200</v>
      </c>
      <c r="G98" s="125"/>
      <c r="H98" s="125"/>
      <c r="I98" s="117">
        <f t="shared" ref="I98" si="38">SUM(F98:H98)*E98</f>
        <v>5200</v>
      </c>
      <c r="J98" s="48"/>
      <c r="K98" s="47">
        <f t="shared" si="37"/>
        <v>5200</v>
      </c>
      <c r="L98" s="47"/>
      <c r="M98" s="49"/>
      <c r="N98" s="90"/>
    </row>
    <row r="99" spans="1:14" ht="18.75">
      <c r="A99" s="10"/>
      <c r="B99" s="85" t="s">
        <v>198</v>
      </c>
      <c r="C99" s="74" t="s">
        <v>0</v>
      </c>
      <c r="D99" s="41">
        <f>(3*2+6)*4</f>
        <v>48</v>
      </c>
      <c r="E99" s="123">
        <v>1</v>
      </c>
      <c r="F99" s="124">
        <v>1150</v>
      </c>
      <c r="G99" s="125"/>
      <c r="H99" s="125"/>
      <c r="I99" s="117">
        <f t="shared" si="34"/>
        <v>1150</v>
      </c>
      <c r="J99" s="48"/>
      <c r="K99" s="47">
        <f t="shared" si="37"/>
        <v>55200</v>
      </c>
      <c r="L99" s="47"/>
      <c r="M99" s="49"/>
      <c r="N99" s="90"/>
    </row>
    <row r="100" spans="1:14" s="65" customFormat="1" ht="18.75">
      <c r="A100" s="14"/>
      <c r="B100" s="79" t="s">
        <v>161</v>
      </c>
      <c r="C100" s="80"/>
      <c r="D100" s="81"/>
      <c r="E100" s="179"/>
      <c r="F100" s="161"/>
      <c r="G100" s="173"/>
      <c r="H100" s="171"/>
      <c r="I100" s="117">
        <f t="shared" ref="I100:I103" si="39">SUM(F100:H100)*E100</f>
        <v>0</v>
      </c>
      <c r="J100" s="82"/>
      <c r="K100" s="83"/>
      <c r="L100" s="64">
        <f>SUM(K101:K103)</f>
        <v>33360</v>
      </c>
      <c r="M100" s="64"/>
      <c r="N100" s="84"/>
    </row>
    <row r="101" spans="1:14" ht="18.75">
      <c r="A101" s="10"/>
      <c r="B101" s="85" t="s">
        <v>161</v>
      </c>
      <c r="C101" s="74" t="s">
        <v>0</v>
      </c>
      <c r="D101" s="41">
        <f>4.2*3*2</f>
        <v>25.200000000000003</v>
      </c>
      <c r="E101" s="123">
        <v>1</v>
      </c>
      <c r="F101" s="124">
        <v>600</v>
      </c>
      <c r="G101" s="125"/>
      <c r="H101" s="125"/>
      <c r="I101" s="117">
        <f t="shared" si="39"/>
        <v>600</v>
      </c>
      <c r="J101" s="48"/>
      <c r="K101" s="47">
        <f t="shared" ref="K101:K103" si="40">D101*I101</f>
        <v>15120.000000000002</v>
      </c>
      <c r="L101" s="47"/>
      <c r="M101" s="49"/>
      <c r="N101" s="90"/>
    </row>
    <row r="102" spans="1:14" ht="18.75">
      <c r="A102" s="10"/>
      <c r="B102" s="85" t="s">
        <v>162</v>
      </c>
      <c r="C102" s="74" t="s">
        <v>0</v>
      </c>
      <c r="D102" s="41">
        <f>D101</f>
        <v>25.200000000000003</v>
      </c>
      <c r="E102" s="123">
        <v>1</v>
      </c>
      <c r="F102" s="124">
        <v>600</v>
      </c>
      <c r="G102" s="125"/>
      <c r="H102" s="125"/>
      <c r="I102" s="117">
        <f t="shared" si="39"/>
        <v>600</v>
      </c>
      <c r="J102" s="48"/>
      <c r="K102" s="47">
        <f t="shared" si="40"/>
        <v>15120.000000000002</v>
      </c>
      <c r="L102" s="47"/>
      <c r="M102" s="49"/>
      <c r="N102" s="90"/>
    </row>
    <row r="103" spans="1:14" ht="18.75">
      <c r="A103" s="10"/>
      <c r="B103" s="85" t="s">
        <v>163</v>
      </c>
      <c r="C103" s="87" t="s">
        <v>0</v>
      </c>
      <c r="D103" s="181">
        <f>(7.4*2+3*2)</f>
        <v>20.8</v>
      </c>
      <c r="E103" s="123">
        <v>1</v>
      </c>
      <c r="F103" s="124">
        <v>150</v>
      </c>
      <c r="G103" s="125"/>
      <c r="H103" s="125"/>
      <c r="I103" s="117">
        <f t="shared" si="39"/>
        <v>150</v>
      </c>
      <c r="J103" s="48"/>
      <c r="K103" s="47">
        <f t="shared" si="40"/>
        <v>3120</v>
      </c>
      <c r="L103" s="47"/>
      <c r="M103" s="49"/>
      <c r="N103" s="90"/>
    </row>
    <row r="104" spans="1:14" s="60" customFormat="1" ht="30">
      <c r="A104" s="8"/>
      <c r="B104" s="92" t="s">
        <v>17</v>
      </c>
      <c r="C104" s="76"/>
      <c r="D104" s="77"/>
      <c r="E104" s="178"/>
      <c r="F104" s="160"/>
      <c r="G104" s="170"/>
      <c r="H104" s="170"/>
      <c r="I104" s="45"/>
      <c r="J104" s="6"/>
      <c r="K104" s="7"/>
      <c r="L104" s="7"/>
      <c r="M104" s="78">
        <f>SUM(L105:L139)</f>
        <v>83580</v>
      </c>
      <c r="N104" s="9"/>
    </row>
    <row r="105" spans="1:14" s="65" customFormat="1" ht="18.75">
      <c r="A105" s="14"/>
      <c r="B105" s="79" t="s">
        <v>33</v>
      </c>
      <c r="C105" s="80"/>
      <c r="D105" s="81"/>
      <c r="E105" s="179"/>
      <c r="F105" s="161"/>
      <c r="G105" s="171"/>
      <c r="H105" s="171"/>
      <c r="I105" s="39"/>
      <c r="J105" s="82"/>
      <c r="K105" s="83"/>
      <c r="L105" s="64">
        <f>SUM(K106:K136)</f>
        <v>83580</v>
      </c>
      <c r="M105" s="64"/>
      <c r="N105" s="84"/>
    </row>
    <row r="106" spans="1:14" ht="18.75">
      <c r="A106" s="10"/>
      <c r="B106" s="73" t="s">
        <v>75</v>
      </c>
      <c r="C106" s="74" t="s">
        <v>74</v>
      </c>
      <c r="D106" s="41">
        <v>1</v>
      </c>
      <c r="E106" s="123"/>
      <c r="F106" s="124"/>
      <c r="G106" s="125"/>
      <c r="H106" s="125"/>
      <c r="I106" s="117">
        <f t="shared" ref="I106:I136" si="41">SUM(F106:H106)*E106</f>
        <v>0</v>
      </c>
      <c r="J106" s="126"/>
      <c r="K106" s="47">
        <f t="shared" ref="K106:K136" si="42">D106*I106</f>
        <v>0</v>
      </c>
      <c r="L106" s="47"/>
      <c r="M106" s="49"/>
      <c r="N106" s="86"/>
    </row>
    <row r="107" spans="1:14" ht="18.75">
      <c r="A107" s="10"/>
      <c r="B107" s="73" t="s">
        <v>76</v>
      </c>
      <c r="C107" s="74" t="s">
        <v>74</v>
      </c>
      <c r="D107" s="41">
        <v>1</v>
      </c>
      <c r="E107" s="123"/>
      <c r="F107" s="124"/>
      <c r="G107" s="125"/>
      <c r="H107" s="125"/>
      <c r="I107" s="117">
        <f t="shared" si="41"/>
        <v>0</v>
      </c>
      <c r="J107" s="48"/>
      <c r="K107" s="47">
        <f t="shared" si="42"/>
        <v>0</v>
      </c>
      <c r="L107" s="47"/>
      <c r="M107" s="49"/>
      <c r="N107" s="86"/>
    </row>
    <row r="108" spans="1:14" ht="18.75">
      <c r="A108" s="10"/>
      <c r="B108" s="73" t="s">
        <v>77</v>
      </c>
      <c r="C108" s="74" t="s">
        <v>74</v>
      </c>
      <c r="D108" s="41">
        <v>1</v>
      </c>
      <c r="E108" s="123">
        <v>1</v>
      </c>
      <c r="F108" s="124">
        <v>200</v>
      </c>
      <c r="G108" s="125">
        <v>3500</v>
      </c>
      <c r="H108" s="125"/>
      <c r="I108" s="117">
        <f t="shared" si="41"/>
        <v>3700</v>
      </c>
      <c r="J108" s="48"/>
      <c r="K108" s="47">
        <f t="shared" si="42"/>
        <v>3700</v>
      </c>
      <c r="L108" s="47"/>
      <c r="M108" s="49"/>
      <c r="N108" s="86"/>
    </row>
    <row r="109" spans="1:14" ht="24.75" customHeight="1">
      <c r="A109" s="10"/>
      <c r="B109" s="73" t="s">
        <v>78</v>
      </c>
      <c r="C109" s="74" t="s">
        <v>74</v>
      </c>
      <c r="D109" s="41">
        <v>2</v>
      </c>
      <c r="E109" s="123">
        <v>1</v>
      </c>
      <c r="F109" s="124">
        <v>100</v>
      </c>
      <c r="G109" s="125">
        <v>350</v>
      </c>
      <c r="H109" s="125"/>
      <c r="I109" s="117">
        <f t="shared" si="41"/>
        <v>450</v>
      </c>
      <c r="J109" s="48"/>
      <c r="K109" s="47">
        <f t="shared" si="42"/>
        <v>900</v>
      </c>
      <c r="L109" s="47"/>
      <c r="M109" s="49"/>
      <c r="N109" s="86"/>
    </row>
    <row r="110" spans="1:14" ht="18.75">
      <c r="A110" s="10"/>
      <c r="B110" s="73" t="s">
        <v>79</v>
      </c>
      <c r="C110" s="74" t="s">
        <v>74</v>
      </c>
      <c r="D110" s="41">
        <v>2</v>
      </c>
      <c r="E110" s="123">
        <v>1</v>
      </c>
      <c r="F110" s="124">
        <v>100</v>
      </c>
      <c r="G110" s="125">
        <v>350</v>
      </c>
      <c r="H110" s="125"/>
      <c r="I110" s="117">
        <f t="shared" si="41"/>
        <v>450</v>
      </c>
      <c r="J110" s="48"/>
      <c r="K110" s="47">
        <f t="shared" si="42"/>
        <v>900</v>
      </c>
      <c r="L110" s="47"/>
      <c r="M110" s="49"/>
      <c r="N110" s="86"/>
    </row>
    <row r="111" spans="1:14" ht="18.75">
      <c r="A111" s="10"/>
      <c r="B111" s="73" t="s">
        <v>80</v>
      </c>
      <c r="C111" s="74" t="s">
        <v>74</v>
      </c>
      <c r="D111" s="41">
        <v>1</v>
      </c>
      <c r="E111" s="123">
        <v>1</v>
      </c>
      <c r="F111" s="124">
        <v>100</v>
      </c>
      <c r="G111" s="125">
        <v>650</v>
      </c>
      <c r="H111" s="125"/>
      <c r="I111" s="117">
        <f t="shared" si="41"/>
        <v>750</v>
      </c>
      <c r="J111" s="48"/>
      <c r="K111" s="47">
        <f t="shared" si="42"/>
        <v>750</v>
      </c>
      <c r="L111" s="47"/>
      <c r="M111" s="49"/>
      <c r="N111" s="86"/>
    </row>
    <row r="112" spans="1:14" ht="18.75">
      <c r="A112" s="10"/>
      <c r="B112" s="73" t="s">
        <v>81</v>
      </c>
      <c r="C112" s="74" t="s">
        <v>74</v>
      </c>
      <c r="D112" s="41">
        <v>1</v>
      </c>
      <c r="E112" s="123">
        <v>1</v>
      </c>
      <c r="F112" s="124">
        <v>100</v>
      </c>
      <c r="G112" s="125">
        <v>650</v>
      </c>
      <c r="H112" s="125"/>
      <c r="I112" s="117">
        <f t="shared" si="41"/>
        <v>750</v>
      </c>
      <c r="J112" s="48"/>
      <c r="K112" s="47">
        <f t="shared" si="42"/>
        <v>750</v>
      </c>
      <c r="L112" s="47"/>
      <c r="M112" s="49"/>
      <c r="N112" s="86"/>
    </row>
    <row r="113" spans="1:14" ht="18.75">
      <c r="A113" s="10"/>
      <c r="B113" s="73" t="s">
        <v>82</v>
      </c>
      <c r="C113" s="74" t="s">
        <v>74</v>
      </c>
      <c r="D113" s="41">
        <v>1</v>
      </c>
      <c r="E113" s="123">
        <v>1</v>
      </c>
      <c r="F113" s="124">
        <v>100</v>
      </c>
      <c r="G113" s="125">
        <v>180</v>
      </c>
      <c r="H113" s="125"/>
      <c r="I113" s="117">
        <f t="shared" si="41"/>
        <v>280</v>
      </c>
      <c r="J113" s="48"/>
      <c r="K113" s="47">
        <f t="shared" si="42"/>
        <v>280</v>
      </c>
      <c r="L113" s="47"/>
      <c r="M113" s="49"/>
      <c r="N113" s="86"/>
    </row>
    <row r="114" spans="1:14" ht="18.75">
      <c r="A114" s="10"/>
      <c r="B114" s="73" t="s">
        <v>83</v>
      </c>
      <c r="C114" s="74" t="s">
        <v>74</v>
      </c>
      <c r="D114" s="41">
        <v>1</v>
      </c>
      <c r="E114" s="123">
        <v>1</v>
      </c>
      <c r="F114" s="124">
        <v>100</v>
      </c>
      <c r="G114" s="125">
        <v>300</v>
      </c>
      <c r="H114" s="125"/>
      <c r="I114" s="117">
        <f t="shared" si="41"/>
        <v>400</v>
      </c>
      <c r="J114" s="48"/>
      <c r="K114" s="47">
        <f t="shared" si="42"/>
        <v>400</v>
      </c>
      <c r="L114" s="47"/>
      <c r="M114" s="49"/>
      <c r="N114" s="86"/>
    </row>
    <row r="115" spans="1:14" ht="18.75">
      <c r="A115" s="10"/>
      <c r="B115" s="73" t="s">
        <v>109</v>
      </c>
      <c r="C115" s="74" t="s">
        <v>74</v>
      </c>
      <c r="D115" s="41">
        <v>1</v>
      </c>
      <c r="E115" s="123">
        <v>1</v>
      </c>
      <c r="F115" s="124">
        <v>50</v>
      </c>
      <c r="G115" s="125">
        <v>2500</v>
      </c>
      <c r="H115" s="125"/>
      <c r="I115" s="117">
        <f t="shared" si="41"/>
        <v>2550</v>
      </c>
      <c r="J115" s="48"/>
      <c r="K115" s="47">
        <f t="shared" si="42"/>
        <v>2550</v>
      </c>
      <c r="L115" s="47"/>
      <c r="M115" s="49"/>
      <c r="N115" s="86"/>
    </row>
    <row r="116" spans="1:14" ht="18.75">
      <c r="A116" s="10"/>
      <c r="B116" s="73" t="s">
        <v>106</v>
      </c>
      <c r="C116" s="74" t="s">
        <v>74</v>
      </c>
      <c r="D116" s="41">
        <v>1</v>
      </c>
      <c r="E116" s="123">
        <v>1</v>
      </c>
      <c r="F116" s="124">
        <v>50</v>
      </c>
      <c r="G116" s="125">
        <v>2500</v>
      </c>
      <c r="H116" s="125"/>
      <c r="I116" s="117">
        <f t="shared" si="41"/>
        <v>2550</v>
      </c>
      <c r="J116" s="48"/>
      <c r="K116" s="47">
        <f t="shared" si="42"/>
        <v>2550</v>
      </c>
      <c r="L116" s="47"/>
      <c r="M116" s="49"/>
      <c r="N116" s="86"/>
    </row>
    <row r="117" spans="1:14" ht="18.75">
      <c r="A117" s="10"/>
      <c r="B117" s="73" t="s">
        <v>84</v>
      </c>
      <c r="C117" s="74" t="s">
        <v>74</v>
      </c>
      <c r="D117" s="41">
        <v>2</v>
      </c>
      <c r="E117" s="123">
        <v>1</v>
      </c>
      <c r="F117" s="124">
        <v>50</v>
      </c>
      <c r="G117" s="125">
        <v>150</v>
      </c>
      <c r="H117" s="125"/>
      <c r="I117" s="117">
        <f t="shared" si="41"/>
        <v>200</v>
      </c>
      <c r="J117" s="48"/>
      <c r="K117" s="47">
        <f t="shared" si="42"/>
        <v>400</v>
      </c>
      <c r="L117" s="47"/>
      <c r="M117" s="49"/>
      <c r="N117" s="86"/>
    </row>
    <row r="118" spans="1:14" ht="18.75">
      <c r="A118" s="10"/>
      <c r="B118" s="73" t="s">
        <v>85</v>
      </c>
      <c r="C118" s="74" t="s">
        <v>74</v>
      </c>
      <c r="D118" s="41">
        <v>1</v>
      </c>
      <c r="E118" s="123">
        <v>1</v>
      </c>
      <c r="F118" s="124">
        <v>50</v>
      </c>
      <c r="G118" s="125">
        <v>200</v>
      </c>
      <c r="H118" s="125"/>
      <c r="I118" s="117">
        <f t="shared" si="41"/>
        <v>250</v>
      </c>
      <c r="J118" s="48"/>
      <c r="K118" s="47">
        <f t="shared" si="42"/>
        <v>250</v>
      </c>
      <c r="L118" s="47"/>
      <c r="M118" s="49"/>
      <c r="N118" s="86"/>
    </row>
    <row r="119" spans="1:14" ht="18.75">
      <c r="A119" s="10"/>
      <c r="B119" s="73" t="s">
        <v>86</v>
      </c>
      <c r="C119" s="74" t="s">
        <v>74</v>
      </c>
      <c r="D119" s="41">
        <v>1</v>
      </c>
      <c r="E119" s="123"/>
      <c r="F119" s="124"/>
      <c r="G119" s="125"/>
      <c r="H119" s="125"/>
      <c r="I119" s="117">
        <f t="shared" si="41"/>
        <v>0</v>
      </c>
      <c r="J119" s="48"/>
      <c r="K119" s="47">
        <f t="shared" si="42"/>
        <v>0</v>
      </c>
      <c r="L119" s="47"/>
      <c r="M119" s="49"/>
      <c r="N119" s="86"/>
    </row>
    <row r="120" spans="1:14" ht="30.75" customHeight="1">
      <c r="A120" s="10"/>
      <c r="B120" s="73" t="s">
        <v>88</v>
      </c>
      <c r="C120" s="74" t="s">
        <v>74</v>
      </c>
      <c r="D120" s="41">
        <v>2</v>
      </c>
      <c r="E120" s="123">
        <v>1</v>
      </c>
      <c r="F120" s="124">
        <v>150</v>
      </c>
      <c r="G120" s="125">
        <v>1000</v>
      </c>
      <c r="H120" s="125"/>
      <c r="I120" s="117">
        <f t="shared" si="41"/>
        <v>1150</v>
      </c>
      <c r="J120" s="48"/>
      <c r="K120" s="47">
        <f t="shared" si="42"/>
        <v>2300</v>
      </c>
      <c r="L120" s="47"/>
      <c r="M120" s="49"/>
      <c r="N120" s="86"/>
    </row>
    <row r="121" spans="1:14" ht="18.75">
      <c r="A121" s="10"/>
      <c r="B121" s="73" t="s">
        <v>89</v>
      </c>
      <c r="C121" s="74" t="s">
        <v>74</v>
      </c>
      <c r="D121" s="41">
        <v>2</v>
      </c>
      <c r="E121" s="123"/>
      <c r="F121" s="124"/>
      <c r="G121" s="125"/>
      <c r="H121" s="125"/>
      <c r="I121" s="117">
        <f t="shared" si="41"/>
        <v>0</v>
      </c>
      <c r="J121" s="48"/>
      <c r="K121" s="47">
        <f t="shared" si="42"/>
        <v>0</v>
      </c>
      <c r="L121" s="47"/>
      <c r="M121" s="49"/>
      <c r="N121" s="86"/>
    </row>
    <row r="122" spans="1:14" ht="18.75">
      <c r="A122" s="10"/>
      <c r="B122" s="73" t="s">
        <v>90</v>
      </c>
      <c r="C122" s="74" t="s">
        <v>74</v>
      </c>
      <c r="D122" s="41">
        <v>4</v>
      </c>
      <c r="E122" s="123">
        <v>1</v>
      </c>
      <c r="F122" s="124">
        <v>100</v>
      </c>
      <c r="G122" s="125">
        <v>500</v>
      </c>
      <c r="H122" s="125"/>
      <c r="I122" s="117">
        <f t="shared" si="41"/>
        <v>600</v>
      </c>
      <c r="J122" s="48"/>
      <c r="K122" s="47">
        <f t="shared" si="42"/>
        <v>2400</v>
      </c>
      <c r="L122" s="47"/>
      <c r="M122" s="49"/>
      <c r="N122" s="86"/>
    </row>
    <row r="123" spans="1:14" ht="18.75">
      <c r="A123" s="10"/>
      <c r="B123" s="73" t="s">
        <v>91</v>
      </c>
      <c r="C123" s="74" t="s">
        <v>74</v>
      </c>
      <c r="D123" s="41">
        <v>1</v>
      </c>
      <c r="E123" s="123">
        <v>1</v>
      </c>
      <c r="F123" s="124">
        <v>100</v>
      </c>
      <c r="G123" s="125">
        <v>1000</v>
      </c>
      <c r="H123" s="125"/>
      <c r="I123" s="117">
        <f t="shared" si="41"/>
        <v>1100</v>
      </c>
      <c r="J123" s="48"/>
      <c r="K123" s="47">
        <f t="shared" si="42"/>
        <v>1100</v>
      </c>
      <c r="L123" s="47"/>
      <c r="M123" s="49"/>
      <c r="N123" s="86"/>
    </row>
    <row r="124" spans="1:14" ht="18.75">
      <c r="A124" s="10"/>
      <c r="B124" s="73" t="s">
        <v>102</v>
      </c>
      <c r="C124" s="74" t="s">
        <v>74</v>
      </c>
      <c r="D124" s="41">
        <v>1</v>
      </c>
      <c r="E124" s="123">
        <v>1</v>
      </c>
      <c r="F124" s="124">
        <v>10000</v>
      </c>
      <c r="G124" s="125"/>
      <c r="H124" s="125"/>
      <c r="I124" s="117">
        <f t="shared" si="41"/>
        <v>10000</v>
      </c>
      <c r="J124" s="48"/>
      <c r="K124" s="47">
        <f t="shared" si="42"/>
        <v>10000</v>
      </c>
      <c r="L124" s="47"/>
      <c r="M124" s="49"/>
      <c r="N124" s="86"/>
    </row>
    <row r="125" spans="1:14" ht="18.75">
      <c r="A125" s="10"/>
      <c r="B125" s="73" t="s">
        <v>103</v>
      </c>
      <c r="C125" s="74" t="s">
        <v>74</v>
      </c>
      <c r="D125" s="41">
        <v>2</v>
      </c>
      <c r="E125" s="123">
        <v>1</v>
      </c>
      <c r="F125" s="124">
        <v>5000</v>
      </c>
      <c r="G125" s="125"/>
      <c r="H125" s="125"/>
      <c r="I125" s="117">
        <f t="shared" si="41"/>
        <v>5000</v>
      </c>
      <c r="J125" s="48"/>
      <c r="K125" s="47">
        <f t="shared" si="42"/>
        <v>10000</v>
      </c>
      <c r="L125" s="47"/>
      <c r="M125" s="49"/>
      <c r="N125" s="86"/>
    </row>
    <row r="126" spans="1:14" ht="18.75">
      <c r="A126" s="10"/>
      <c r="B126" s="73" t="s">
        <v>104</v>
      </c>
      <c r="C126" s="74" t="s">
        <v>74</v>
      </c>
      <c r="D126" s="41">
        <v>6</v>
      </c>
      <c r="E126" s="123">
        <v>1</v>
      </c>
      <c r="F126" s="124">
        <v>100</v>
      </c>
      <c r="G126" s="125">
        <v>750</v>
      </c>
      <c r="H126" s="125"/>
      <c r="I126" s="117">
        <f t="shared" si="41"/>
        <v>850</v>
      </c>
      <c r="J126" s="48"/>
      <c r="K126" s="47">
        <f t="shared" si="42"/>
        <v>5100</v>
      </c>
      <c r="L126" s="47"/>
      <c r="M126" s="49"/>
      <c r="N126" s="86"/>
    </row>
    <row r="127" spans="1:14" ht="18.75">
      <c r="A127" s="10"/>
      <c r="B127" s="73" t="s">
        <v>92</v>
      </c>
      <c r="C127" s="74" t="s">
        <v>74</v>
      </c>
      <c r="D127" s="41">
        <v>1</v>
      </c>
      <c r="E127" s="123">
        <v>1</v>
      </c>
      <c r="F127" s="124">
        <v>100</v>
      </c>
      <c r="G127" s="125">
        <v>500</v>
      </c>
      <c r="H127" s="125"/>
      <c r="I127" s="117">
        <f t="shared" si="41"/>
        <v>600</v>
      </c>
      <c r="J127" s="48"/>
      <c r="K127" s="47">
        <f t="shared" si="42"/>
        <v>600</v>
      </c>
      <c r="L127" s="47"/>
      <c r="M127" s="49"/>
      <c r="N127" s="86"/>
    </row>
    <row r="128" spans="1:14" ht="18.75">
      <c r="A128" s="10"/>
      <c r="B128" s="73" t="s">
        <v>93</v>
      </c>
      <c r="C128" s="74" t="s">
        <v>74</v>
      </c>
      <c r="D128" s="41">
        <v>13</v>
      </c>
      <c r="E128" s="123">
        <v>1</v>
      </c>
      <c r="F128" s="124">
        <v>50</v>
      </c>
      <c r="G128" s="125">
        <v>100</v>
      </c>
      <c r="H128" s="125"/>
      <c r="I128" s="117">
        <f t="shared" si="41"/>
        <v>150</v>
      </c>
      <c r="J128" s="48"/>
      <c r="K128" s="47">
        <f t="shared" si="42"/>
        <v>1950</v>
      </c>
      <c r="L128" s="47"/>
      <c r="M128" s="49"/>
      <c r="N128" s="86"/>
    </row>
    <row r="129" spans="1:16" ht="18.75">
      <c r="A129" s="10"/>
      <c r="B129" s="73" t="s">
        <v>94</v>
      </c>
      <c r="C129" s="74" t="s">
        <v>74</v>
      </c>
      <c r="D129" s="41">
        <v>12</v>
      </c>
      <c r="E129" s="123">
        <v>1</v>
      </c>
      <c r="F129" s="124">
        <v>100</v>
      </c>
      <c r="G129" s="125">
        <v>300</v>
      </c>
      <c r="H129" s="125"/>
      <c r="I129" s="117">
        <f t="shared" si="41"/>
        <v>400</v>
      </c>
      <c r="J129" s="48"/>
      <c r="K129" s="47">
        <f t="shared" si="42"/>
        <v>4800</v>
      </c>
      <c r="L129" s="47"/>
      <c r="M129" s="49"/>
      <c r="N129" s="86"/>
    </row>
    <row r="130" spans="1:16" ht="18.75">
      <c r="A130" s="10"/>
      <c r="B130" s="73" t="s">
        <v>184</v>
      </c>
      <c r="C130" s="74" t="s">
        <v>1</v>
      </c>
      <c r="D130" s="41">
        <v>1</v>
      </c>
      <c r="E130" s="123">
        <v>1</v>
      </c>
      <c r="F130" s="124">
        <v>500</v>
      </c>
      <c r="G130" s="125">
        <v>2500</v>
      </c>
      <c r="H130" s="125"/>
      <c r="I130" s="117">
        <f t="shared" si="41"/>
        <v>3000</v>
      </c>
      <c r="J130" s="48"/>
      <c r="K130" s="47">
        <f t="shared" si="42"/>
        <v>3000</v>
      </c>
      <c r="L130" s="47"/>
      <c r="M130" s="49"/>
      <c r="N130" s="86"/>
    </row>
    <row r="131" spans="1:16" ht="18.75">
      <c r="A131" s="10"/>
      <c r="B131" s="73" t="s">
        <v>206</v>
      </c>
      <c r="C131" s="74" t="s">
        <v>74</v>
      </c>
      <c r="D131" s="41">
        <v>2</v>
      </c>
      <c r="E131" s="123">
        <v>1</v>
      </c>
      <c r="F131" s="124">
        <v>200</v>
      </c>
      <c r="G131" s="125">
        <v>3000</v>
      </c>
      <c r="H131" s="125"/>
      <c r="I131" s="117">
        <f t="shared" si="41"/>
        <v>3200</v>
      </c>
      <c r="J131" s="48"/>
      <c r="K131" s="47">
        <f t="shared" si="42"/>
        <v>6400</v>
      </c>
      <c r="L131" s="47"/>
      <c r="M131" s="49"/>
      <c r="N131" s="86"/>
    </row>
    <row r="132" spans="1:16" ht="18.75">
      <c r="A132" s="10"/>
      <c r="B132" s="73" t="s">
        <v>95</v>
      </c>
      <c r="C132" s="74" t="s">
        <v>74</v>
      </c>
      <c r="D132" s="41">
        <v>1</v>
      </c>
      <c r="E132" s="123"/>
      <c r="F132" s="124"/>
      <c r="G132" s="125"/>
      <c r="H132" s="125"/>
      <c r="I132" s="117">
        <f t="shared" si="41"/>
        <v>0</v>
      </c>
      <c r="J132" s="48"/>
      <c r="K132" s="47">
        <f t="shared" si="42"/>
        <v>0</v>
      </c>
      <c r="L132" s="47"/>
      <c r="M132" s="49"/>
      <c r="N132" s="86"/>
    </row>
    <row r="133" spans="1:16" ht="18.75">
      <c r="A133" s="10"/>
      <c r="B133" s="73" t="s">
        <v>96</v>
      </c>
      <c r="C133" s="74" t="s">
        <v>74</v>
      </c>
      <c r="D133" s="41">
        <v>1</v>
      </c>
      <c r="E133" s="123"/>
      <c r="F133" s="124"/>
      <c r="G133" s="125"/>
      <c r="H133" s="125"/>
      <c r="I133" s="117">
        <f t="shared" si="41"/>
        <v>0</v>
      </c>
      <c r="J133" s="48"/>
      <c r="K133" s="47">
        <f t="shared" si="42"/>
        <v>0</v>
      </c>
      <c r="L133" s="47"/>
      <c r="M133" s="49"/>
      <c r="N133" s="86"/>
    </row>
    <row r="134" spans="1:16" ht="18.75">
      <c r="A134" s="10"/>
      <c r="B134" s="73" t="s">
        <v>105</v>
      </c>
      <c r="C134" s="74" t="s">
        <v>74</v>
      </c>
      <c r="D134" s="41">
        <v>1</v>
      </c>
      <c r="E134" s="123"/>
      <c r="F134" s="124"/>
      <c r="G134" s="125"/>
      <c r="H134" s="125"/>
      <c r="I134" s="117">
        <f t="shared" si="41"/>
        <v>0</v>
      </c>
      <c r="J134" s="48"/>
      <c r="K134" s="47">
        <f t="shared" si="42"/>
        <v>0</v>
      </c>
      <c r="L134" s="47"/>
      <c r="M134" s="49"/>
      <c r="N134" s="86"/>
    </row>
    <row r="135" spans="1:16" ht="18.75">
      <c r="A135" s="10"/>
      <c r="B135" s="73" t="s">
        <v>186</v>
      </c>
      <c r="C135" s="74" t="s">
        <v>74</v>
      </c>
      <c r="D135" s="41">
        <v>1</v>
      </c>
      <c r="E135" s="123">
        <v>1</v>
      </c>
      <c r="F135" s="124">
        <v>500</v>
      </c>
      <c r="G135" s="125">
        <v>2000</v>
      </c>
      <c r="H135" s="125"/>
      <c r="I135" s="117">
        <f t="shared" si="41"/>
        <v>2500</v>
      </c>
      <c r="J135" s="48"/>
      <c r="K135" s="47">
        <f t="shared" si="42"/>
        <v>2500</v>
      </c>
      <c r="L135" s="47"/>
      <c r="M135" s="49"/>
      <c r="N135" s="86"/>
    </row>
    <row r="136" spans="1:16" ht="30">
      <c r="A136" s="10"/>
      <c r="B136" s="73" t="s">
        <v>97</v>
      </c>
      <c r="C136" s="74" t="s">
        <v>74</v>
      </c>
      <c r="D136" s="41">
        <v>2</v>
      </c>
      <c r="E136" s="123">
        <v>1</v>
      </c>
      <c r="F136" s="124">
        <v>10000</v>
      </c>
      <c r="G136" s="125"/>
      <c r="H136" s="125"/>
      <c r="I136" s="117">
        <f t="shared" si="41"/>
        <v>10000</v>
      </c>
      <c r="J136" s="48"/>
      <c r="K136" s="47">
        <f t="shared" si="42"/>
        <v>20000</v>
      </c>
      <c r="L136" s="47"/>
      <c r="M136" s="49"/>
      <c r="N136" s="86"/>
    </row>
    <row r="137" spans="1:16" ht="18.75">
      <c r="A137" s="10"/>
      <c r="B137" s="73"/>
      <c r="C137" s="74"/>
      <c r="D137" s="41"/>
      <c r="E137" s="123"/>
      <c r="F137" s="124"/>
      <c r="G137" s="125"/>
      <c r="H137" s="125"/>
      <c r="I137" s="117"/>
      <c r="J137" s="48"/>
      <c r="K137" s="47"/>
      <c r="L137" s="47"/>
      <c r="M137" s="49"/>
      <c r="N137" s="86"/>
    </row>
    <row r="138" spans="1:16" ht="18.75">
      <c r="A138" s="10"/>
      <c r="B138" s="73"/>
      <c r="C138" s="74"/>
      <c r="D138" s="41"/>
      <c r="E138" s="123"/>
      <c r="F138" s="124"/>
      <c r="G138" s="125"/>
      <c r="H138" s="125"/>
      <c r="I138" s="117"/>
      <c r="J138" s="48"/>
      <c r="K138" s="47"/>
      <c r="L138" s="47"/>
      <c r="M138" s="49"/>
      <c r="N138" s="86"/>
    </row>
    <row r="139" spans="1:16" ht="18.75">
      <c r="A139" s="10"/>
      <c r="B139" s="73"/>
      <c r="C139" s="74"/>
      <c r="D139" s="41"/>
      <c r="E139" s="123"/>
      <c r="F139" s="124"/>
      <c r="G139" s="125"/>
      <c r="H139" s="125"/>
      <c r="I139" s="117"/>
      <c r="J139" s="48"/>
      <c r="K139" s="47"/>
      <c r="L139" s="47"/>
      <c r="M139" s="49"/>
      <c r="N139" s="86"/>
    </row>
    <row r="140" spans="1:16" s="60" customFormat="1" ht="18">
      <c r="A140" s="8"/>
      <c r="B140" s="92" t="s">
        <v>166</v>
      </c>
      <c r="C140" s="76"/>
      <c r="D140" s="77"/>
      <c r="E140" s="178"/>
      <c r="F140" s="160"/>
      <c r="G140" s="170"/>
      <c r="H140" s="170"/>
      <c r="I140" s="45"/>
      <c r="J140" s="6"/>
      <c r="K140" s="7"/>
      <c r="L140" s="7"/>
      <c r="M140" s="78">
        <f>SUM(L141:L144)</f>
        <v>200000</v>
      </c>
      <c r="N140" s="9"/>
    </row>
    <row r="141" spans="1:16" s="65" customFormat="1" ht="18.75">
      <c r="A141" s="14"/>
      <c r="B141" s="79" t="s">
        <v>167</v>
      </c>
      <c r="C141" s="80"/>
      <c r="D141" s="81"/>
      <c r="E141" s="179"/>
      <c r="F141" s="161"/>
      <c r="G141" s="171"/>
      <c r="H141" s="171"/>
      <c r="I141" s="39"/>
      <c r="J141" s="82"/>
      <c r="K141" s="83"/>
      <c r="L141" s="64">
        <f>SUM(K142:K142)</f>
        <v>50000</v>
      </c>
      <c r="M141" s="64"/>
      <c r="N141" s="84"/>
    </row>
    <row r="142" spans="1:16" ht="18.75">
      <c r="A142" s="10"/>
      <c r="B142" s="73" t="s">
        <v>167</v>
      </c>
      <c r="C142" s="74" t="s">
        <v>1</v>
      </c>
      <c r="D142" s="41">
        <v>1</v>
      </c>
      <c r="E142" s="123">
        <v>1</v>
      </c>
      <c r="F142" s="124">
        <v>50000</v>
      </c>
      <c r="G142" s="125"/>
      <c r="H142" s="125"/>
      <c r="I142" s="117">
        <f t="shared" ref="I142" si="43">F142+G142*E142+H142</f>
        <v>50000</v>
      </c>
      <c r="J142" s="48"/>
      <c r="K142" s="47">
        <f t="shared" ref="K142" si="44">D142*I142</f>
        <v>50000</v>
      </c>
      <c r="L142" s="49"/>
      <c r="M142" s="49"/>
      <c r="N142" s="86"/>
      <c r="P142" s="127"/>
    </row>
    <row r="143" spans="1:16" s="65" customFormat="1" ht="18.75">
      <c r="A143" s="14"/>
      <c r="B143" s="79" t="s">
        <v>168</v>
      </c>
      <c r="C143" s="80"/>
      <c r="D143" s="81"/>
      <c r="E143" s="179"/>
      <c r="F143" s="161"/>
      <c r="G143" s="171"/>
      <c r="H143" s="171"/>
      <c r="I143" s="39"/>
      <c r="J143" s="82"/>
      <c r="K143" s="83"/>
      <c r="L143" s="64">
        <f>SUM(K144:K144)</f>
        <v>150000</v>
      </c>
      <c r="M143" s="64"/>
      <c r="N143" s="84"/>
    </row>
    <row r="144" spans="1:16" ht="18.75">
      <c r="A144" s="10"/>
      <c r="B144" s="73" t="s">
        <v>207</v>
      </c>
      <c r="C144" s="74" t="s">
        <v>1</v>
      </c>
      <c r="D144" s="41">
        <v>1</v>
      </c>
      <c r="E144" s="123">
        <v>1</v>
      </c>
      <c r="F144" s="124">
        <v>150000</v>
      </c>
      <c r="G144" s="125"/>
      <c r="H144" s="125"/>
      <c r="I144" s="117">
        <f t="shared" ref="I144" si="45">F144+G144*E144+H144</f>
        <v>150000</v>
      </c>
      <c r="J144" s="48"/>
      <c r="K144" s="47">
        <f t="shared" ref="K144" si="46">D144*I144</f>
        <v>150000</v>
      </c>
      <c r="L144" s="49"/>
      <c r="M144" s="49"/>
      <c r="N144" s="86"/>
      <c r="P144" s="127"/>
    </row>
    <row r="145" spans="1:14" ht="19.5" thickBot="1">
      <c r="A145" s="10"/>
      <c r="B145" s="73"/>
      <c r="C145" s="74"/>
      <c r="D145" s="41"/>
      <c r="E145" s="123"/>
      <c r="F145" s="124"/>
      <c r="G145" s="125"/>
      <c r="H145" s="125"/>
      <c r="I145" s="117"/>
      <c r="J145" s="48"/>
      <c r="K145" s="47"/>
      <c r="L145" s="47"/>
      <c r="M145" s="49"/>
      <c r="N145" s="86"/>
    </row>
    <row r="146" spans="1:14" ht="19.5" thickBot="1">
      <c r="A146" s="36"/>
      <c r="B146" s="19" t="s">
        <v>8</v>
      </c>
      <c r="C146" s="93"/>
      <c r="D146" s="162"/>
      <c r="E146" s="162"/>
      <c r="F146" s="162"/>
      <c r="G146" s="162"/>
      <c r="H146" s="162"/>
      <c r="I146" s="93"/>
      <c r="J146" s="94"/>
      <c r="K146" s="93"/>
      <c r="L146" s="95"/>
      <c r="M146" s="96">
        <f>M147</f>
        <v>915992.34400000004</v>
      </c>
      <c r="N146" s="93"/>
    </row>
    <row r="147" spans="1:14" ht="18.75" thickBot="1">
      <c r="A147" s="20"/>
      <c r="B147" s="306" t="s">
        <v>9</v>
      </c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97">
        <f>SUM(M4:M145)</f>
        <v>915992.34400000004</v>
      </c>
      <c r="N147" s="93"/>
    </row>
    <row r="148" spans="1:14" ht="20.25" thickTop="1" thickBot="1">
      <c r="A148" s="5"/>
      <c r="B148" s="4"/>
      <c r="C148" s="98"/>
      <c r="D148" s="163"/>
      <c r="E148" s="163"/>
      <c r="F148" s="163"/>
      <c r="G148" s="163"/>
      <c r="H148" s="163"/>
      <c r="I148" s="98"/>
      <c r="J148" s="98"/>
      <c r="K148" s="98"/>
      <c r="L148" s="37" t="s">
        <v>10</v>
      </c>
      <c r="M148" s="38">
        <f>M146</f>
        <v>915992.34400000004</v>
      </c>
      <c r="N148" s="99"/>
    </row>
    <row r="149" spans="1:14" ht="20.25" thickTop="1" thickBot="1">
      <c r="A149" s="5"/>
      <c r="B149" s="4"/>
      <c r="C149" s="98"/>
      <c r="D149" s="163"/>
      <c r="E149" s="163"/>
      <c r="F149" s="163"/>
      <c r="G149" s="163"/>
      <c r="H149" s="163"/>
      <c r="I149" s="98"/>
      <c r="J149" s="98"/>
      <c r="K149" s="98"/>
      <c r="L149" s="100" t="s">
        <v>11</v>
      </c>
      <c r="M149" s="101">
        <f>M148*0</f>
        <v>0</v>
      </c>
      <c r="N149" s="102"/>
    </row>
    <row r="150" spans="1:14" ht="20.25" thickTop="1" thickBot="1">
      <c r="A150" s="5"/>
      <c r="B150" s="4"/>
      <c r="C150" s="98"/>
      <c r="D150" s="163"/>
      <c r="E150" s="163"/>
      <c r="F150" s="163"/>
      <c r="G150" s="163"/>
      <c r="H150" s="163"/>
      <c r="I150" s="98"/>
      <c r="J150" s="98"/>
      <c r="K150" s="98"/>
      <c r="L150" s="37" t="s">
        <v>12</v>
      </c>
      <c r="M150" s="38">
        <f>M148+M149</f>
        <v>915992.34400000004</v>
      </c>
      <c r="N150" s="99"/>
    </row>
    <row r="151" spans="1:14" ht="18.75" thickTop="1">
      <c r="B151" s="2"/>
      <c r="C151" s="103"/>
      <c r="D151" s="164"/>
      <c r="E151" s="164"/>
      <c r="F151" s="164"/>
      <c r="G151" s="164"/>
      <c r="H151" s="164"/>
      <c r="I151" s="103"/>
      <c r="J151" s="103"/>
      <c r="K151" s="103"/>
      <c r="L151" s="103"/>
      <c r="M151" s="103"/>
      <c r="N151" s="104"/>
    </row>
    <row r="152" spans="1:14" ht="18">
      <c r="B152" s="2"/>
      <c r="C152" s="103"/>
      <c r="D152" s="164"/>
      <c r="E152" s="164"/>
      <c r="F152" s="164"/>
      <c r="G152" s="164"/>
      <c r="H152" s="164"/>
      <c r="I152" s="103"/>
      <c r="J152" s="103"/>
      <c r="K152" s="103"/>
      <c r="L152" s="103"/>
      <c r="M152" s="105"/>
      <c r="N152" s="104"/>
    </row>
    <row r="153" spans="1:14" ht="18">
      <c r="B153" s="2"/>
      <c r="C153" s="103"/>
      <c r="D153" s="164"/>
      <c r="E153" s="164"/>
      <c r="F153" s="164"/>
      <c r="G153" s="164"/>
      <c r="H153" s="164"/>
      <c r="I153" s="103"/>
      <c r="J153" s="103"/>
      <c r="K153" s="103"/>
      <c r="L153" s="103"/>
      <c r="M153" s="105"/>
      <c r="N153" s="104"/>
    </row>
    <row r="154" spans="1:14" ht="18">
      <c r="B154" s="106"/>
      <c r="C154" s="107"/>
      <c r="D154" s="164"/>
      <c r="E154" s="164"/>
      <c r="F154" s="164"/>
      <c r="G154" s="164"/>
      <c r="H154" s="164"/>
      <c r="I154" s="103"/>
      <c r="J154" s="103"/>
      <c r="K154" s="103"/>
      <c r="N154" s="104"/>
    </row>
    <row r="155" spans="1:14" ht="18">
      <c r="E155" s="180"/>
      <c r="M155" s="108"/>
    </row>
    <row r="156" spans="1:14" ht="18">
      <c r="E156" s="180"/>
      <c r="M156" s="110"/>
    </row>
    <row r="157" spans="1:14" ht="15">
      <c r="L157" s="111"/>
      <c r="M157" s="112"/>
    </row>
    <row r="158" spans="1:14" ht="18">
      <c r="B158" s="113" t="s">
        <v>26</v>
      </c>
      <c r="C158" s="114">
        <v>305</v>
      </c>
      <c r="D158" s="197" t="s">
        <v>0</v>
      </c>
      <c r="E158" s="180"/>
    </row>
    <row r="159" spans="1:14" ht="18">
      <c r="B159" s="113" t="s">
        <v>24</v>
      </c>
      <c r="C159" s="116">
        <f>M150/C158</f>
        <v>3003.253586885246</v>
      </c>
      <c r="D159" s="197" t="s">
        <v>25</v>
      </c>
      <c r="E159" s="180"/>
    </row>
    <row r="160" spans="1:14" ht="18">
      <c r="B160" s="106"/>
      <c r="C160" s="106"/>
      <c r="D160" s="180"/>
      <c r="E160" s="180"/>
    </row>
    <row r="161" spans="2:5" ht="18">
      <c r="B161" s="106"/>
      <c r="C161" s="106"/>
      <c r="D161" s="180"/>
      <c r="E161" s="180"/>
    </row>
    <row r="162" spans="2:5" ht="18">
      <c r="B162" s="106"/>
      <c r="C162" s="106"/>
      <c r="D162" s="180"/>
      <c r="E162" s="180"/>
    </row>
    <row r="163" spans="2:5" ht="18">
      <c r="B163" s="106"/>
      <c r="C163" s="106"/>
      <c r="D163" s="180"/>
      <c r="E163" s="180"/>
    </row>
  </sheetData>
  <mergeCells count="2">
    <mergeCell ref="B1:N1"/>
    <mergeCell ref="B147:L147"/>
  </mergeCell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98CF-BF43-42B4-AE58-C7519371ECBC}">
  <sheetPr>
    <pageSetUpPr fitToPage="1"/>
  </sheetPr>
  <dimension ref="A1:S168"/>
  <sheetViews>
    <sheetView topLeftCell="A13" zoomScale="70" zoomScaleNormal="70" workbookViewId="0">
      <selection activeCell="H27" sqref="H27"/>
    </sheetView>
  </sheetViews>
  <sheetFormatPr defaultColWidth="11.7109375" defaultRowHeight="14.25"/>
  <cols>
    <col min="1" max="1" width="9.5703125" style="50" customWidth="1"/>
    <col min="2" max="2" width="47.7109375" style="42" customWidth="1"/>
    <col min="3" max="3" width="15.85546875" style="42" customWidth="1"/>
    <col min="4" max="4" width="15.140625" style="42" customWidth="1"/>
    <col min="5" max="5" width="15.42578125" style="165" customWidth="1"/>
    <col min="6" max="6" width="13.42578125" style="165" customWidth="1"/>
    <col min="7" max="7" width="16.28515625" style="165" customWidth="1"/>
    <col min="8" max="8" width="14.85546875" style="165" customWidth="1"/>
    <col min="9" max="9" width="22" style="42" customWidth="1"/>
    <col min="10" max="10" width="20.7109375" style="42" hidden="1" customWidth="1"/>
    <col min="11" max="11" width="20.85546875" style="42" customWidth="1"/>
    <col min="12" max="12" width="21.28515625" style="42" customWidth="1"/>
    <col min="13" max="13" width="22.5703125" style="42" customWidth="1"/>
    <col min="14" max="14" width="17.28515625" style="109" customWidth="1"/>
    <col min="15" max="15" width="16.5703125" style="42" customWidth="1"/>
    <col min="16" max="16" width="17.7109375" style="42" customWidth="1"/>
    <col min="17" max="17" width="19" style="42" customWidth="1"/>
    <col min="18" max="16384" width="11.7109375" style="42"/>
  </cols>
  <sheetData>
    <row r="1" spans="1:17" ht="24" thickBot="1">
      <c r="B1" s="304" t="s">
        <v>98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7" ht="37.5" thickTop="1" thickBot="1">
      <c r="A2" s="29" t="s">
        <v>3</v>
      </c>
      <c r="B2" s="24" t="s">
        <v>4</v>
      </c>
      <c r="C2" s="33" t="s">
        <v>5</v>
      </c>
      <c r="D2" s="34" t="s">
        <v>6</v>
      </c>
      <c r="E2" s="174" t="s">
        <v>39</v>
      </c>
      <c r="F2" s="156" t="s">
        <v>14</v>
      </c>
      <c r="G2" s="166" t="s">
        <v>13</v>
      </c>
      <c r="H2" s="156" t="s">
        <v>15</v>
      </c>
      <c r="I2" s="43" t="s">
        <v>7</v>
      </c>
      <c r="J2" s="1"/>
      <c r="K2" s="25"/>
      <c r="L2" s="26"/>
      <c r="M2" s="27">
        <f>M3</f>
        <v>1299403.61882</v>
      </c>
      <c r="N2" s="28"/>
    </row>
    <row r="3" spans="1:17" s="55" customFormat="1" ht="19.5" thickTop="1" thickBot="1">
      <c r="A3" s="23"/>
      <c r="B3" s="51" t="s">
        <v>22</v>
      </c>
      <c r="C3" s="52"/>
      <c r="D3" s="53"/>
      <c r="E3" s="175"/>
      <c r="F3" s="157"/>
      <c r="G3" s="167"/>
      <c r="H3" s="167"/>
      <c r="I3" s="44"/>
      <c r="J3" s="30"/>
      <c r="K3" s="31"/>
      <c r="L3" s="31"/>
      <c r="M3" s="54">
        <f>SUM(M4:M148)</f>
        <v>1299403.61882</v>
      </c>
      <c r="N3" s="32"/>
    </row>
    <row r="4" spans="1:17" s="60" customFormat="1" ht="18">
      <c r="A4" s="11"/>
      <c r="B4" s="56" t="s">
        <v>19</v>
      </c>
      <c r="C4" s="57"/>
      <c r="D4" s="58"/>
      <c r="E4" s="176"/>
      <c r="F4" s="158"/>
      <c r="G4" s="168"/>
      <c r="H4" s="168"/>
      <c r="I4" s="45"/>
      <c r="J4" s="21"/>
      <c r="K4" s="22"/>
      <c r="L4" s="12"/>
      <c r="M4" s="59">
        <f>SUM(L5:L6)</f>
        <v>51164</v>
      </c>
      <c r="N4" s="13"/>
    </row>
    <row r="5" spans="1:17" s="65" customFormat="1" ht="18">
      <c r="A5" s="15"/>
      <c r="B5" s="61" t="s">
        <v>30</v>
      </c>
      <c r="C5" s="62"/>
      <c r="D5" s="63"/>
      <c r="E5" s="177"/>
      <c r="F5" s="159"/>
      <c r="G5" s="169"/>
      <c r="H5" s="169"/>
      <c r="I5" s="46"/>
      <c r="J5" s="16"/>
      <c r="K5" s="17"/>
      <c r="L5" s="17">
        <f>SUM(K6:K8)</f>
        <v>51164</v>
      </c>
      <c r="M5" s="64"/>
      <c r="N5" s="18"/>
    </row>
    <row r="6" spans="1:17" ht="18.75">
      <c r="A6" s="10"/>
      <c r="B6" s="66" t="s">
        <v>30</v>
      </c>
      <c r="C6" s="67" t="s">
        <v>1</v>
      </c>
      <c r="D6" s="68">
        <v>1</v>
      </c>
      <c r="E6" s="69">
        <v>1</v>
      </c>
      <c r="F6" s="124">
        <v>20000</v>
      </c>
      <c r="G6" s="70"/>
      <c r="H6" s="125"/>
      <c r="I6" s="117">
        <f>SUM(F6:H6)*E6</f>
        <v>20000</v>
      </c>
      <c r="J6" s="48"/>
      <c r="K6" s="47">
        <f>D6*I6</f>
        <v>20000</v>
      </c>
      <c r="L6" s="47"/>
      <c r="M6" s="71"/>
      <c r="N6" s="72"/>
    </row>
    <row r="7" spans="1:17" ht="18.75">
      <c r="A7" s="10"/>
      <c r="B7" s="73" t="s">
        <v>61</v>
      </c>
      <c r="C7" s="152" t="s">
        <v>0</v>
      </c>
      <c r="D7" s="153">
        <v>180</v>
      </c>
      <c r="E7" s="69">
        <v>1</v>
      </c>
      <c r="F7" s="124">
        <v>100</v>
      </c>
      <c r="G7" s="125"/>
      <c r="H7" s="125"/>
      <c r="I7" s="117">
        <f>SUM(F7:H7)*E7</f>
        <v>100</v>
      </c>
      <c r="J7" s="48"/>
      <c r="K7" s="47">
        <f t="shared" ref="K7:K8" si="0">D7*I7</f>
        <v>18000</v>
      </c>
      <c r="L7" s="154"/>
      <c r="M7" s="49"/>
      <c r="N7" s="72"/>
    </row>
    <row r="8" spans="1:17" ht="30">
      <c r="A8" s="10"/>
      <c r="B8" s="73" t="s">
        <v>62</v>
      </c>
      <c r="C8" s="152" t="s">
        <v>0</v>
      </c>
      <c r="D8" s="153">
        <v>131.63999999999999</v>
      </c>
      <c r="E8" s="69">
        <v>1</v>
      </c>
      <c r="F8" s="124">
        <v>100</v>
      </c>
      <c r="G8" s="125"/>
      <c r="H8" s="125"/>
      <c r="I8" s="117">
        <f>SUM(F8:H8)*E8</f>
        <v>100</v>
      </c>
      <c r="J8" s="48"/>
      <c r="K8" s="47">
        <f t="shared" si="0"/>
        <v>13163.999999999998</v>
      </c>
      <c r="L8" s="154"/>
      <c r="M8" s="49"/>
      <c r="N8" s="72"/>
    </row>
    <row r="9" spans="1:17" s="60" customFormat="1" ht="18">
      <c r="A9" s="8"/>
      <c r="B9" s="75" t="s">
        <v>18</v>
      </c>
      <c r="C9" s="76"/>
      <c r="D9" s="77"/>
      <c r="E9" s="178"/>
      <c r="F9" s="160"/>
      <c r="G9" s="170"/>
      <c r="H9" s="170"/>
      <c r="I9" s="45"/>
      <c r="J9" s="6"/>
      <c r="K9" s="35"/>
      <c r="L9" s="35"/>
      <c r="M9" s="78">
        <f>SUM(L10:L38)</f>
        <v>248628.17881999997</v>
      </c>
      <c r="N9" s="9"/>
    </row>
    <row r="10" spans="1:17" s="65" customFormat="1" ht="18.75">
      <c r="A10" s="185"/>
      <c r="B10" s="79" t="s">
        <v>111</v>
      </c>
      <c r="C10" s="80"/>
      <c r="D10" s="183"/>
      <c r="E10" s="179"/>
      <c r="F10" s="161"/>
      <c r="G10" s="171"/>
      <c r="H10" s="171"/>
      <c r="I10" s="39"/>
      <c r="J10" s="82"/>
      <c r="K10" s="83"/>
      <c r="L10" s="64">
        <f>SUM(K11:K19)</f>
        <v>36477.241999999998</v>
      </c>
      <c r="M10" s="64"/>
      <c r="N10" s="84"/>
    </row>
    <row r="11" spans="1:17" ht="18.75">
      <c r="A11" s="186">
        <v>1</v>
      </c>
      <c r="B11" s="85" t="s">
        <v>58</v>
      </c>
      <c r="C11" s="74" t="s">
        <v>34</v>
      </c>
      <c r="D11" s="155">
        <f>(7.44*5.62+6.2*5.4+6*4.12+1.5*1.5*9)*0.1</f>
        <v>12.02628</v>
      </c>
      <c r="E11" s="69">
        <v>1</v>
      </c>
      <c r="F11" s="40">
        <v>150</v>
      </c>
      <c r="G11" s="70"/>
      <c r="H11" s="70"/>
      <c r="I11" s="117">
        <f>SUM(F11:H11)*E11</f>
        <v>150</v>
      </c>
      <c r="J11" s="48"/>
      <c r="K11" s="47">
        <f t="shared" ref="K11:K19" si="1">D11*I11</f>
        <v>1803.942</v>
      </c>
      <c r="L11" s="47"/>
      <c r="M11" s="118"/>
      <c r="N11" s="86"/>
      <c r="Q11" s="121"/>
    </row>
    <row r="12" spans="1:17" ht="18.75">
      <c r="A12" s="186">
        <v>1</v>
      </c>
      <c r="B12" s="85" t="s">
        <v>60</v>
      </c>
      <c r="C12" s="74" t="s">
        <v>34</v>
      </c>
      <c r="D12" s="155">
        <v>0</v>
      </c>
      <c r="E12" s="69">
        <v>1</v>
      </c>
      <c r="F12" s="40">
        <v>200</v>
      </c>
      <c r="G12" s="70"/>
      <c r="H12" s="70"/>
      <c r="I12" s="117">
        <f t="shared" ref="I12:I19" si="2">SUM(F12:H12)*E12</f>
        <v>200</v>
      </c>
      <c r="J12" s="48"/>
      <c r="K12" s="47">
        <f t="shared" si="1"/>
        <v>0</v>
      </c>
      <c r="L12" s="47"/>
      <c r="M12" s="119"/>
      <c r="N12" s="86"/>
    </row>
    <row r="13" spans="1:17" ht="18.75">
      <c r="A13" s="186">
        <v>1</v>
      </c>
      <c r="B13" s="85" t="s">
        <v>187</v>
      </c>
      <c r="C13" s="74" t="s">
        <v>34</v>
      </c>
      <c r="D13" s="155">
        <f>1.5*1.2*0.4*6</f>
        <v>4.32</v>
      </c>
      <c r="E13" s="69">
        <v>1</v>
      </c>
      <c r="F13" s="40">
        <v>200</v>
      </c>
      <c r="G13" s="70"/>
      <c r="H13" s="70"/>
      <c r="I13" s="117">
        <f t="shared" si="2"/>
        <v>200</v>
      </c>
      <c r="J13" s="48"/>
      <c r="K13" s="47">
        <f t="shared" si="1"/>
        <v>864</v>
      </c>
      <c r="L13" s="47"/>
      <c r="M13" s="119"/>
      <c r="N13" s="86"/>
    </row>
    <row r="14" spans="1:17" ht="18.75">
      <c r="A14" s="186">
        <v>1</v>
      </c>
      <c r="B14" s="85" t="s">
        <v>127</v>
      </c>
      <c r="C14" s="74" t="s">
        <v>34</v>
      </c>
      <c r="D14" s="155">
        <v>0</v>
      </c>
      <c r="E14" s="69">
        <v>1</v>
      </c>
      <c r="F14" s="40">
        <v>200</v>
      </c>
      <c r="G14" s="70"/>
      <c r="H14" s="70"/>
      <c r="I14" s="117">
        <f t="shared" ref="I14" si="3">SUM(F14:H14)*E14</f>
        <v>200</v>
      </c>
      <c r="J14" s="48"/>
      <c r="K14" s="47">
        <f t="shared" si="1"/>
        <v>0</v>
      </c>
      <c r="L14" s="47"/>
      <c r="M14" s="119"/>
      <c r="N14" s="86"/>
    </row>
    <row r="15" spans="1:17" ht="18.75">
      <c r="A15" s="186">
        <v>1</v>
      </c>
      <c r="B15" s="85" t="s">
        <v>112</v>
      </c>
      <c r="C15" s="74" t="s">
        <v>34</v>
      </c>
      <c r="D15" s="155">
        <v>0</v>
      </c>
      <c r="E15" s="69">
        <v>1</v>
      </c>
      <c r="F15" s="40">
        <v>200</v>
      </c>
      <c r="G15" s="70"/>
      <c r="H15" s="70"/>
      <c r="I15" s="117">
        <f t="shared" ref="I15" si="4">SUM(F15:H15)*E15</f>
        <v>200</v>
      </c>
      <c r="J15" s="48"/>
      <c r="K15" s="47">
        <f t="shared" ref="K15" si="5">D15*I15</f>
        <v>0</v>
      </c>
      <c r="L15" s="47"/>
      <c r="M15" s="119"/>
      <c r="N15" s="86"/>
    </row>
    <row r="16" spans="1:17" ht="18.75">
      <c r="A16" s="186">
        <v>1</v>
      </c>
      <c r="B16" s="85" t="s">
        <v>128</v>
      </c>
      <c r="C16" s="74" t="s">
        <v>34</v>
      </c>
      <c r="D16" s="155">
        <f>(7.4*5.6+6.5*5.6+6.4*3.8)*0.3</f>
        <v>30.647999999999996</v>
      </c>
      <c r="E16" s="69">
        <v>1</v>
      </c>
      <c r="F16" s="40">
        <v>200</v>
      </c>
      <c r="G16" s="70"/>
      <c r="H16" s="70"/>
      <c r="I16" s="117">
        <f t="shared" ref="I16" si="6">SUM(F16:H16)*E16</f>
        <v>200</v>
      </c>
      <c r="J16" s="48"/>
      <c r="K16" s="47">
        <f t="shared" ref="K16" si="7">D16*I16</f>
        <v>6129.5999999999995</v>
      </c>
      <c r="L16" s="47"/>
      <c r="M16" s="119"/>
      <c r="N16" s="86"/>
    </row>
    <row r="17" spans="1:19" ht="18.75">
      <c r="A17" s="186">
        <v>1</v>
      </c>
      <c r="B17" s="85" t="s">
        <v>129</v>
      </c>
      <c r="C17" s="74" t="s">
        <v>0</v>
      </c>
      <c r="D17" s="155">
        <f>(4.8*2+6.8*2)*8.25-2.7*3*2</f>
        <v>175.2</v>
      </c>
      <c r="E17" s="69">
        <v>1</v>
      </c>
      <c r="F17" s="40">
        <v>100</v>
      </c>
      <c r="G17" s="70"/>
      <c r="H17" s="70"/>
      <c r="I17" s="117">
        <f t="shared" si="2"/>
        <v>100</v>
      </c>
      <c r="J17" s="48"/>
      <c r="K17" s="47">
        <f t="shared" si="1"/>
        <v>17520</v>
      </c>
      <c r="L17" s="47"/>
      <c r="M17" s="119"/>
      <c r="N17" s="86"/>
      <c r="O17" s="121">
        <f>D17+D18+D19</f>
        <v>244.06099999999998</v>
      </c>
      <c r="P17" s="111">
        <f>K17</f>
        <v>17520</v>
      </c>
      <c r="R17" s="121">
        <f>D17+D18+D19</f>
        <v>244.06099999999998</v>
      </c>
    </row>
    <row r="18" spans="1:19" ht="18.75">
      <c r="A18" s="186">
        <v>1</v>
      </c>
      <c r="B18" s="85" t="s">
        <v>130</v>
      </c>
      <c r="C18" s="74" t="s">
        <v>0</v>
      </c>
      <c r="D18" s="155">
        <f>(2.8*2+2.9)*4.25</f>
        <v>36.125</v>
      </c>
      <c r="E18" s="69">
        <v>1</v>
      </c>
      <c r="F18" s="40">
        <v>100</v>
      </c>
      <c r="G18" s="70"/>
      <c r="H18" s="70"/>
      <c r="I18" s="117">
        <f t="shared" ref="I18" si="8">SUM(F18:H18)*E18</f>
        <v>100</v>
      </c>
      <c r="J18" s="48"/>
      <c r="K18" s="47">
        <f t="shared" ref="K18" si="9">D18*I18</f>
        <v>3612.5</v>
      </c>
      <c r="L18" s="47"/>
      <c r="M18" s="119"/>
      <c r="N18" s="86"/>
      <c r="P18" s="111">
        <f>K18</f>
        <v>3612.5</v>
      </c>
      <c r="R18" s="42">
        <f>R17/D17</f>
        <v>1.3930422374429223</v>
      </c>
      <c r="S18" s="42">
        <f>62000*R18</f>
        <v>86368.618721461185</v>
      </c>
    </row>
    <row r="19" spans="1:19" ht="18.75">
      <c r="A19" s="186">
        <v>1</v>
      </c>
      <c r="B19" s="66" t="s">
        <v>59</v>
      </c>
      <c r="C19" s="74" t="s">
        <v>0</v>
      </c>
      <c r="D19" s="155">
        <f>4.8*6.82</f>
        <v>32.735999999999997</v>
      </c>
      <c r="E19" s="69">
        <v>1</v>
      </c>
      <c r="F19" s="40">
        <v>200</v>
      </c>
      <c r="G19" s="70"/>
      <c r="H19" s="70"/>
      <c r="I19" s="117">
        <f t="shared" si="2"/>
        <v>200</v>
      </c>
      <c r="J19" s="48"/>
      <c r="K19" s="47">
        <f t="shared" si="1"/>
        <v>6547.2</v>
      </c>
      <c r="L19" s="47"/>
      <c r="M19" s="119"/>
      <c r="N19" s="86"/>
      <c r="P19" s="111">
        <f>K19</f>
        <v>6547.2</v>
      </c>
    </row>
    <row r="20" spans="1:19" s="65" customFormat="1" ht="18.75">
      <c r="A20" s="185"/>
      <c r="B20" s="79" t="s">
        <v>113</v>
      </c>
      <c r="C20" s="80"/>
      <c r="D20" s="184"/>
      <c r="E20" s="179"/>
      <c r="F20" s="161"/>
      <c r="G20" s="171"/>
      <c r="H20" s="171"/>
      <c r="I20" s="39"/>
      <c r="J20" s="82"/>
      <c r="K20" s="83"/>
      <c r="L20" s="64">
        <f>SUM(K21:K25)</f>
        <v>33151.931539999998</v>
      </c>
      <c r="M20" s="64"/>
      <c r="N20" s="84"/>
    </row>
    <row r="21" spans="1:19" ht="18.75">
      <c r="A21" s="186">
        <v>1</v>
      </c>
      <c r="B21" s="85" t="s">
        <v>114</v>
      </c>
      <c r="C21" s="74" t="s">
        <v>34</v>
      </c>
      <c r="D21" s="155">
        <f>D11</f>
        <v>12.02628</v>
      </c>
      <c r="E21" s="69">
        <v>1.05</v>
      </c>
      <c r="F21" s="40"/>
      <c r="G21" s="70">
        <v>210</v>
      </c>
      <c r="H21" s="70"/>
      <c r="I21" s="117">
        <f>SUM(F21:H21)*E21</f>
        <v>220.5</v>
      </c>
      <c r="J21" s="48"/>
      <c r="K21" s="47">
        <f t="shared" ref="K21:K25" si="10">D21*I21</f>
        <v>2651.7947399999998</v>
      </c>
      <c r="L21" s="47"/>
      <c r="M21" s="118"/>
      <c r="N21" s="86"/>
      <c r="Q21" s="121"/>
    </row>
    <row r="22" spans="1:19" ht="18.75">
      <c r="A22" s="186">
        <v>1</v>
      </c>
      <c r="B22" s="85" t="s">
        <v>115</v>
      </c>
      <c r="C22" s="74" t="s">
        <v>34</v>
      </c>
      <c r="D22" s="155">
        <f>D12+D13+D14+D15+D16+D17*0.2+D18*0.2+D19*0.15</f>
        <v>82.143399999999986</v>
      </c>
      <c r="E22" s="69">
        <v>1.05</v>
      </c>
      <c r="F22" s="40"/>
      <c r="G22" s="70">
        <v>240</v>
      </c>
      <c r="H22" s="70"/>
      <c r="I22" s="117">
        <f t="shared" ref="I22:I24" si="11">SUM(F22:H22)*E22</f>
        <v>252</v>
      </c>
      <c r="J22" s="48"/>
      <c r="K22" s="47">
        <f t="shared" si="10"/>
        <v>20700.136799999997</v>
      </c>
      <c r="L22" s="47"/>
      <c r="M22" s="119"/>
      <c r="N22" s="86"/>
      <c r="P22" s="187">
        <f>I22*D17*0.2+D18*I22*0.2+D19*0.15*I22</f>
        <v>11888.200800000001</v>
      </c>
      <c r="Q22" s="187"/>
    </row>
    <row r="23" spans="1:19" ht="18.75">
      <c r="A23" s="186">
        <v>1</v>
      </c>
      <c r="B23" s="85" t="s">
        <v>116</v>
      </c>
      <c r="C23" s="74" t="s">
        <v>117</v>
      </c>
      <c r="D23" s="155">
        <v>30</v>
      </c>
      <c r="E23" s="69">
        <v>1</v>
      </c>
      <c r="F23" s="40"/>
      <c r="G23" s="70"/>
      <c r="H23" s="70">
        <v>240</v>
      </c>
      <c r="I23" s="117">
        <f t="shared" si="11"/>
        <v>240</v>
      </c>
      <c r="J23" s="48"/>
      <c r="K23" s="47">
        <f t="shared" si="10"/>
        <v>7200</v>
      </c>
      <c r="L23" s="47"/>
      <c r="M23" s="119"/>
      <c r="N23" s="86"/>
      <c r="P23" s="187">
        <f>I22*D19*0.15</f>
        <v>1237.4207999999999</v>
      </c>
    </row>
    <row r="24" spans="1:19" ht="18.75">
      <c r="A24" s="186">
        <v>1</v>
      </c>
      <c r="B24" s="85" t="s">
        <v>118</v>
      </c>
      <c r="C24" s="74" t="s">
        <v>1</v>
      </c>
      <c r="D24" s="155">
        <v>2</v>
      </c>
      <c r="E24" s="69">
        <v>1</v>
      </c>
      <c r="F24" s="40">
        <v>300</v>
      </c>
      <c r="G24" s="70"/>
      <c r="H24" s="70"/>
      <c r="I24" s="117">
        <f t="shared" si="11"/>
        <v>300</v>
      </c>
      <c r="J24" s="48"/>
      <c r="K24" s="47">
        <f t="shared" si="10"/>
        <v>600</v>
      </c>
      <c r="L24" s="47"/>
      <c r="M24" s="119"/>
      <c r="N24" s="86"/>
      <c r="P24" s="42">
        <v>5000</v>
      </c>
    </row>
    <row r="25" spans="1:19" ht="18.75">
      <c r="A25" s="186">
        <v>1</v>
      </c>
      <c r="B25" s="85" t="s">
        <v>119</v>
      </c>
      <c r="C25" s="74" t="s">
        <v>1</v>
      </c>
      <c r="D25" s="155">
        <v>1</v>
      </c>
      <c r="E25" s="69">
        <v>1</v>
      </c>
      <c r="F25" s="40"/>
      <c r="G25" s="70">
        <v>2000</v>
      </c>
      <c r="H25" s="70"/>
      <c r="I25" s="117">
        <f t="shared" ref="I25" si="12">SUM(F25:H25)*E25</f>
        <v>2000</v>
      </c>
      <c r="J25" s="48"/>
      <c r="K25" s="47">
        <f t="shared" si="10"/>
        <v>2000</v>
      </c>
      <c r="L25" s="47"/>
      <c r="M25" s="119"/>
      <c r="N25" s="86"/>
      <c r="P25" s="42">
        <v>1500</v>
      </c>
    </row>
    <row r="26" spans="1:19" s="65" customFormat="1" ht="18.75">
      <c r="A26" s="185"/>
      <c r="B26" s="79" t="s">
        <v>120</v>
      </c>
      <c r="C26" s="80"/>
      <c r="D26" s="184"/>
      <c r="E26" s="179"/>
      <c r="F26" s="161"/>
      <c r="G26" s="171"/>
      <c r="H26" s="171"/>
      <c r="I26" s="39"/>
      <c r="J26" s="82"/>
      <c r="K26" s="83"/>
      <c r="L26" s="64">
        <f>SUM(K27:K30)</f>
        <v>34225.170999999995</v>
      </c>
      <c r="M26" s="64"/>
      <c r="N26" s="84"/>
    </row>
    <row r="27" spans="1:19" ht="18.75">
      <c r="A27" s="186">
        <v>1</v>
      </c>
      <c r="B27" s="85" t="s">
        <v>121</v>
      </c>
      <c r="C27" s="74" t="s">
        <v>34</v>
      </c>
      <c r="D27" s="155">
        <f>D22</f>
        <v>82.143399999999986</v>
      </c>
      <c r="E27" s="69">
        <v>1.05</v>
      </c>
      <c r="F27" s="40"/>
      <c r="G27" s="70"/>
      <c r="H27" s="70">
        <v>300</v>
      </c>
      <c r="I27" s="117">
        <f>SUM(F27:H27)*E27</f>
        <v>315</v>
      </c>
      <c r="J27" s="48"/>
      <c r="K27" s="47">
        <f t="shared" ref="K27:K29" si="13">D27*I27</f>
        <v>25875.170999999995</v>
      </c>
      <c r="L27" s="47"/>
      <c r="M27" s="118"/>
      <c r="N27" s="86"/>
      <c r="P27" s="42">
        <v>30000</v>
      </c>
      <c r="Q27" s="121"/>
    </row>
    <row r="28" spans="1:19" ht="18.75">
      <c r="A28" s="186">
        <v>1</v>
      </c>
      <c r="B28" s="85" t="s">
        <v>122</v>
      </c>
      <c r="C28" s="74" t="s">
        <v>0</v>
      </c>
      <c r="D28" s="155">
        <v>20</v>
      </c>
      <c r="E28" s="69">
        <v>1.05</v>
      </c>
      <c r="F28" s="40"/>
      <c r="G28" s="70">
        <v>50</v>
      </c>
      <c r="H28" s="70"/>
      <c r="I28" s="117">
        <f t="shared" ref="I28:I29" si="14">SUM(F28:H28)*E28</f>
        <v>52.5</v>
      </c>
      <c r="J28" s="48"/>
      <c r="K28" s="47">
        <f t="shared" si="13"/>
        <v>1050</v>
      </c>
      <c r="L28" s="47"/>
      <c r="M28" s="119"/>
      <c r="N28" s="86"/>
    </row>
    <row r="29" spans="1:19" ht="18.75">
      <c r="A29" s="186">
        <v>1</v>
      </c>
      <c r="B29" s="85" t="s">
        <v>123</v>
      </c>
      <c r="C29" s="74" t="s">
        <v>34</v>
      </c>
      <c r="D29" s="155">
        <v>2</v>
      </c>
      <c r="E29" s="69">
        <v>1</v>
      </c>
      <c r="F29" s="40"/>
      <c r="G29" s="70">
        <v>650</v>
      </c>
      <c r="H29" s="70"/>
      <c r="I29" s="117">
        <f t="shared" si="14"/>
        <v>650</v>
      </c>
      <c r="J29" s="48"/>
      <c r="K29" s="47">
        <f t="shared" si="13"/>
        <v>1300</v>
      </c>
      <c r="L29" s="47"/>
      <c r="M29" s="119"/>
      <c r="N29" s="86"/>
    </row>
    <row r="30" spans="1:19" ht="18.75">
      <c r="A30" s="186">
        <v>1</v>
      </c>
      <c r="B30" s="85" t="s">
        <v>131</v>
      </c>
      <c r="C30" s="74" t="s">
        <v>1</v>
      </c>
      <c r="D30" s="155">
        <v>6</v>
      </c>
      <c r="E30" s="69">
        <v>1</v>
      </c>
      <c r="F30" s="40"/>
      <c r="G30" s="70">
        <v>1000</v>
      </c>
      <c r="H30" s="70"/>
      <c r="I30" s="117">
        <f t="shared" ref="I30" si="15">SUM(F30:H30)*E30</f>
        <v>1000</v>
      </c>
      <c r="J30" s="48"/>
      <c r="K30" s="47">
        <f t="shared" ref="K30" si="16">D30*I30</f>
        <v>6000</v>
      </c>
      <c r="L30" s="47"/>
      <c r="M30" s="119"/>
      <c r="N30" s="86"/>
    </row>
    <row r="31" spans="1:19" s="65" customFormat="1" ht="18.75">
      <c r="A31" s="185"/>
      <c r="B31" s="79" t="s">
        <v>31</v>
      </c>
      <c r="C31" s="80"/>
      <c r="D31" s="184"/>
      <c r="E31" s="179"/>
      <c r="F31" s="161"/>
      <c r="G31" s="171"/>
      <c r="H31" s="171"/>
      <c r="I31" s="39"/>
      <c r="J31" s="82"/>
      <c r="K31" s="83"/>
      <c r="L31" s="64">
        <f>SUM(K32:K34)</f>
        <v>39773.834279999995</v>
      </c>
      <c r="M31" s="64"/>
      <c r="N31" s="84"/>
      <c r="O31" s="42"/>
    </row>
    <row r="32" spans="1:19" ht="18.75">
      <c r="A32" s="186">
        <v>1</v>
      </c>
      <c r="B32" s="85" t="s">
        <v>38</v>
      </c>
      <c r="C32" s="74" t="s">
        <v>37</v>
      </c>
      <c r="D32" s="155">
        <f>D22*0.12</f>
        <v>9.8572079999999982</v>
      </c>
      <c r="E32" s="69">
        <v>1</v>
      </c>
      <c r="F32" s="40">
        <v>1200</v>
      </c>
      <c r="G32" s="70"/>
      <c r="H32" s="70"/>
      <c r="I32" s="117">
        <f t="shared" ref="I32" si="17">SUM(F32:H32)*E32</f>
        <v>1200</v>
      </c>
      <c r="J32" s="48"/>
      <c r="K32" s="47">
        <f t="shared" ref="K32:K33" si="18">D32*I32</f>
        <v>11828.649599999997</v>
      </c>
      <c r="L32" s="47"/>
      <c r="M32" s="49"/>
      <c r="N32" s="86"/>
      <c r="P32" s="187">
        <f>(D17*0.2*0.12+D19*0.15*0.12+D18*0.2*0.12)*I32</f>
        <v>6793.257599999999</v>
      </c>
    </row>
    <row r="33" spans="1:16" ht="18.75">
      <c r="A33" s="186">
        <v>1</v>
      </c>
      <c r="B33" s="85" t="s">
        <v>124</v>
      </c>
      <c r="C33" s="74" t="s">
        <v>37</v>
      </c>
      <c r="D33" s="155">
        <f>D32</f>
        <v>9.8572079999999982</v>
      </c>
      <c r="E33" s="69">
        <v>1.05</v>
      </c>
      <c r="F33" s="40"/>
      <c r="G33" s="70">
        <v>2600</v>
      </c>
      <c r="H33" s="70">
        <v>100</v>
      </c>
      <c r="I33" s="117">
        <f t="shared" ref="I33:I36" si="19">SUM(F33:H33)*E33</f>
        <v>2835</v>
      </c>
      <c r="J33" s="48"/>
      <c r="K33" s="47">
        <f t="shared" si="18"/>
        <v>27945.184679999995</v>
      </c>
      <c r="L33" s="47"/>
      <c r="M33" s="49"/>
      <c r="N33" s="86"/>
      <c r="P33" s="187">
        <f>(D17*0.2*0.12+D19*0.15*0.12+D18*0.2*0.12)*I33</f>
        <v>16049.071079999998</v>
      </c>
    </row>
    <row r="34" spans="1:16" ht="18.75">
      <c r="A34" s="186">
        <v>1</v>
      </c>
      <c r="B34" s="85"/>
      <c r="C34" s="74"/>
      <c r="D34" s="155"/>
      <c r="E34" s="69"/>
      <c r="F34" s="40"/>
      <c r="G34" s="70"/>
      <c r="H34" s="70"/>
      <c r="I34" s="117"/>
      <c r="J34" s="48"/>
      <c r="K34" s="47"/>
      <c r="L34" s="47"/>
      <c r="M34" s="49"/>
      <c r="N34" s="86"/>
    </row>
    <row r="35" spans="1:16" s="65" customFormat="1" ht="18.75">
      <c r="A35" s="185"/>
      <c r="B35" s="79" t="s">
        <v>35</v>
      </c>
      <c r="C35" s="80"/>
      <c r="D35" s="184"/>
      <c r="E35" s="179"/>
      <c r="F35" s="161"/>
      <c r="G35" s="171"/>
      <c r="H35" s="171"/>
      <c r="I35" s="39"/>
      <c r="J35" s="82"/>
      <c r="K35" s="83"/>
      <c r="L35" s="64">
        <f>SUM(K36:K36)</f>
        <v>105000</v>
      </c>
      <c r="M35" s="64"/>
      <c r="N35" s="84"/>
      <c r="O35" s="42"/>
    </row>
    <row r="36" spans="1:16" ht="18.75">
      <c r="A36" s="186">
        <v>1</v>
      </c>
      <c r="B36" s="66" t="s">
        <v>36</v>
      </c>
      <c r="C36" s="74" t="s">
        <v>37</v>
      </c>
      <c r="D36" s="155">
        <v>10</v>
      </c>
      <c r="E36" s="69">
        <v>1.05</v>
      </c>
      <c r="F36" s="124">
        <v>10000</v>
      </c>
      <c r="G36" s="125"/>
      <c r="H36" s="125"/>
      <c r="I36" s="117">
        <f t="shared" si="19"/>
        <v>10500</v>
      </c>
      <c r="J36" s="48"/>
      <c r="K36" s="47">
        <f t="shared" ref="K36" si="20">D36*I36</f>
        <v>105000</v>
      </c>
      <c r="L36" s="47"/>
      <c r="M36" s="119"/>
      <c r="N36" s="86"/>
      <c r="P36" s="42">
        <f>SUM(P16:P34)</f>
        <v>100147.65027999999</v>
      </c>
    </row>
    <row r="37" spans="1:16" ht="30">
      <c r="A37" s="186">
        <v>1</v>
      </c>
      <c r="B37" s="73" t="s">
        <v>125</v>
      </c>
      <c r="C37" s="74" t="s">
        <v>0</v>
      </c>
      <c r="D37" s="155">
        <v>130.78</v>
      </c>
      <c r="E37" s="69"/>
      <c r="F37" s="124"/>
      <c r="G37" s="125"/>
      <c r="H37" s="125"/>
      <c r="I37" s="117"/>
      <c r="J37" s="48"/>
      <c r="K37" s="47"/>
      <c r="L37" s="47"/>
      <c r="M37" s="119"/>
      <c r="N37" s="86"/>
    </row>
    <row r="38" spans="1:16" ht="18.75">
      <c r="A38" s="186"/>
      <c r="B38" s="73" t="s">
        <v>126</v>
      </c>
      <c r="C38" s="74" t="s">
        <v>74</v>
      </c>
      <c r="D38" s="155">
        <v>8</v>
      </c>
      <c r="E38" s="69"/>
      <c r="F38" s="124"/>
      <c r="G38" s="125"/>
      <c r="H38" s="125"/>
      <c r="I38" s="117"/>
      <c r="J38" s="48"/>
      <c r="K38" s="47"/>
      <c r="L38" s="47"/>
      <c r="M38" s="119"/>
      <c r="N38" s="86"/>
    </row>
    <row r="39" spans="1:16" s="60" customFormat="1" ht="18">
      <c r="A39" s="8"/>
      <c r="B39" s="75" t="s">
        <v>42</v>
      </c>
      <c r="C39" s="76"/>
      <c r="D39" s="151"/>
      <c r="E39" s="178"/>
      <c r="F39" s="160"/>
      <c r="G39" s="170"/>
      <c r="H39" s="170"/>
      <c r="I39" s="45"/>
      <c r="J39" s="6"/>
      <c r="K39" s="7"/>
      <c r="L39" s="7">
        <f>SUM(K40:K44)</f>
        <v>13757.66</v>
      </c>
      <c r="M39" s="78">
        <f>SUM(L39:L39)</f>
        <v>13757.66</v>
      </c>
      <c r="N39" s="9"/>
    </row>
    <row r="40" spans="1:16" ht="60">
      <c r="A40" s="10"/>
      <c r="B40" s="85" t="s">
        <v>188</v>
      </c>
      <c r="C40" s="74" t="s">
        <v>0</v>
      </c>
      <c r="D40" s="155">
        <f>7.4*5.6+6.5*5.6+6.4*3.8+(7.4*2+11.2*2+6.4*2+3.8*2)*0.6 +(5*2+6.8*2+2.8*2+2.9)*0.25*2</f>
        <v>152.77000000000001</v>
      </c>
      <c r="E40" s="188">
        <v>1</v>
      </c>
      <c r="F40" s="189">
        <v>20</v>
      </c>
      <c r="G40" s="155">
        <v>30</v>
      </c>
      <c r="H40" s="125"/>
      <c r="I40" s="117">
        <f t="shared" ref="I40:I44" si="21">SUM(F40:H40)*E40</f>
        <v>50</v>
      </c>
      <c r="J40" s="48"/>
      <c r="K40" s="47">
        <f t="shared" ref="K40:K44" si="22">D40*I40</f>
        <v>7638.5000000000009</v>
      </c>
      <c r="L40" s="47"/>
      <c r="M40" s="49"/>
      <c r="N40" s="86"/>
    </row>
    <row r="41" spans="1:16" ht="18.75">
      <c r="A41" s="10"/>
      <c r="B41" s="73" t="s">
        <v>64</v>
      </c>
      <c r="C41" s="74" t="s">
        <v>0</v>
      </c>
      <c r="D41" s="155">
        <v>0</v>
      </c>
      <c r="E41" s="188">
        <v>1</v>
      </c>
      <c r="F41" s="189">
        <v>12</v>
      </c>
      <c r="G41" s="190">
        <v>15</v>
      </c>
      <c r="H41" s="70"/>
      <c r="I41" s="117">
        <f t="shared" si="21"/>
        <v>27</v>
      </c>
      <c r="J41" s="48"/>
      <c r="K41" s="47">
        <f t="shared" si="22"/>
        <v>0</v>
      </c>
      <c r="L41" s="47"/>
      <c r="M41" s="49"/>
      <c r="N41" s="86"/>
    </row>
    <row r="42" spans="1:16" ht="30">
      <c r="A42" s="10"/>
      <c r="B42" s="73" t="s">
        <v>65</v>
      </c>
      <c r="C42" s="74" t="s">
        <v>0</v>
      </c>
      <c r="D42" s="155">
        <f>(7.4*2+11.2*2+6.4*2+3.8*2)*1</f>
        <v>57.6</v>
      </c>
      <c r="E42" s="188">
        <v>1</v>
      </c>
      <c r="F42" s="189">
        <v>10</v>
      </c>
      <c r="G42" s="190">
        <v>80</v>
      </c>
      <c r="H42" s="125"/>
      <c r="I42" s="117">
        <f t="shared" si="21"/>
        <v>90</v>
      </c>
      <c r="J42" s="48"/>
      <c r="K42" s="47">
        <f t="shared" si="22"/>
        <v>5184</v>
      </c>
      <c r="L42" s="47"/>
      <c r="M42" s="49"/>
      <c r="N42" s="86"/>
    </row>
    <row r="43" spans="1:16" ht="18.75">
      <c r="A43" s="10"/>
      <c r="B43" s="85" t="s">
        <v>44</v>
      </c>
      <c r="C43" s="74" t="s">
        <v>0</v>
      </c>
      <c r="D43" s="155">
        <f>D42</f>
        <v>57.6</v>
      </c>
      <c r="E43" s="188">
        <v>1</v>
      </c>
      <c r="F43" s="189">
        <v>6</v>
      </c>
      <c r="G43" s="155">
        <v>6.6</v>
      </c>
      <c r="H43" s="125"/>
      <c r="I43" s="117">
        <f t="shared" si="21"/>
        <v>12.6</v>
      </c>
      <c r="J43" s="48"/>
      <c r="K43" s="47">
        <f t="shared" si="22"/>
        <v>725.76</v>
      </c>
      <c r="L43" s="47"/>
      <c r="M43" s="49"/>
      <c r="N43" s="86"/>
    </row>
    <row r="44" spans="1:16" ht="18.75">
      <c r="A44" s="10"/>
      <c r="B44" s="66" t="s">
        <v>45</v>
      </c>
      <c r="C44" s="87" t="s">
        <v>2</v>
      </c>
      <c r="D44" s="155">
        <f>(7.4*2+5.8*2+2.8*2+2.9)</f>
        <v>34.9</v>
      </c>
      <c r="E44" s="188">
        <v>1</v>
      </c>
      <c r="F44" s="189">
        <v>1</v>
      </c>
      <c r="G44" s="190">
        <v>5</v>
      </c>
      <c r="H44" s="125"/>
      <c r="I44" s="117">
        <f t="shared" si="21"/>
        <v>6</v>
      </c>
      <c r="J44" s="48"/>
      <c r="K44" s="47">
        <f t="shared" si="22"/>
        <v>209.39999999999998</v>
      </c>
      <c r="L44" s="47"/>
      <c r="M44" s="49"/>
      <c r="N44" s="86"/>
    </row>
    <row r="45" spans="1:16" s="60" customFormat="1" ht="29.25" customHeight="1">
      <c r="A45" s="8"/>
      <c r="B45" s="88" t="s">
        <v>21</v>
      </c>
      <c r="C45" s="76"/>
      <c r="D45" s="77"/>
      <c r="E45" s="178"/>
      <c r="F45" s="160"/>
      <c r="G45" s="170"/>
      <c r="H45" s="170"/>
      <c r="I45" s="45"/>
      <c r="J45" s="6"/>
      <c r="K45" s="7"/>
      <c r="L45" s="7"/>
      <c r="M45" s="78">
        <f>SUM(L46:L63)</f>
        <v>116799</v>
      </c>
      <c r="N45" s="9"/>
    </row>
    <row r="46" spans="1:16" s="65" customFormat="1" ht="18.75">
      <c r="A46" s="14"/>
      <c r="B46" s="89" t="s">
        <v>32</v>
      </c>
      <c r="C46" s="80"/>
      <c r="D46" s="81"/>
      <c r="E46" s="179"/>
      <c r="F46" s="161"/>
      <c r="G46" s="171"/>
      <c r="H46" s="171"/>
      <c r="I46" s="39"/>
      <c r="J46" s="82"/>
      <c r="K46" s="83"/>
      <c r="L46" s="64">
        <f>SUM(K47:K48)</f>
        <v>2418</v>
      </c>
      <c r="M46" s="64"/>
      <c r="N46" s="84"/>
    </row>
    <row r="47" spans="1:16" ht="18.75">
      <c r="A47" s="10"/>
      <c r="B47" s="85" t="s">
        <v>63</v>
      </c>
      <c r="C47" s="74" t="s">
        <v>0</v>
      </c>
      <c r="D47" s="41">
        <f>(6.8+4.8+3)*0.25</f>
        <v>3.65</v>
      </c>
      <c r="E47" s="69">
        <v>1</v>
      </c>
      <c r="F47" s="40">
        <v>60</v>
      </c>
      <c r="G47" s="41">
        <v>60</v>
      </c>
      <c r="H47" s="125"/>
      <c r="I47" s="117">
        <f t="shared" ref="I47:I62" si="23">SUM(F47:H47)*E47</f>
        <v>120</v>
      </c>
      <c r="J47" s="48"/>
      <c r="K47" s="47">
        <f t="shared" ref="K47" si="24">D47*I47</f>
        <v>438</v>
      </c>
      <c r="L47" s="47"/>
      <c r="M47" s="49"/>
      <c r="N47" s="86"/>
    </row>
    <row r="48" spans="1:16" ht="18.75">
      <c r="A48" s="10"/>
      <c r="B48" s="85" t="s">
        <v>139</v>
      </c>
      <c r="C48" s="74" t="s">
        <v>0</v>
      </c>
      <c r="D48" s="41">
        <f>3.3*4</f>
        <v>13.2</v>
      </c>
      <c r="E48" s="69">
        <v>1</v>
      </c>
      <c r="F48" s="40">
        <v>150</v>
      </c>
      <c r="G48" s="41"/>
      <c r="H48" s="125"/>
      <c r="I48" s="117">
        <f t="shared" si="23"/>
        <v>150</v>
      </c>
      <c r="J48" s="48"/>
      <c r="K48" s="47">
        <f t="shared" ref="K48" si="25">D48*I48</f>
        <v>1980</v>
      </c>
      <c r="L48" s="47"/>
      <c r="M48" s="49"/>
      <c r="N48" s="86"/>
    </row>
    <row r="49" spans="1:14" s="65" customFormat="1" ht="18.75">
      <c r="A49" s="14"/>
      <c r="B49" s="79" t="s">
        <v>134</v>
      </c>
      <c r="C49" s="80"/>
      <c r="D49" s="81"/>
      <c r="E49" s="179"/>
      <c r="F49" s="161"/>
      <c r="G49" s="171"/>
      <c r="H49" s="171"/>
      <c r="I49" s="117"/>
      <c r="J49" s="82"/>
      <c r="K49" s="83"/>
      <c r="L49" s="64">
        <f>SUM(K50:K51)</f>
        <v>11712</v>
      </c>
      <c r="M49" s="64"/>
      <c r="N49" s="84"/>
    </row>
    <row r="50" spans="1:14" ht="18.75">
      <c r="A50" s="10"/>
      <c r="B50" s="73" t="s">
        <v>132</v>
      </c>
      <c r="C50" s="74" t="s">
        <v>0</v>
      </c>
      <c r="D50" s="41">
        <f>(6.6*4+4.6*4+3.3*2)*4+(2.7*3)*4</f>
        <v>238</v>
      </c>
      <c r="E50" s="123">
        <v>1</v>
      </c>
      <c r="F50" s="124">
        <v>45</v>
      </c>
      <c r="G50" s="122"/>
      <c r="H50" s="125"/>
      <c r="I50" s="117">
        <f t="shared" si="23"/>
        <v>45</v>
      </c>
      <c r="J50" s="48"/>
      <c r="K50" s="47">
        <f t="shared" ref="K50:K51" si="26">D50*I50</f>
        <v>10710</v>
      </c>
      <c r="L50" s="47"/>
      <c r="M50" s="49"/>
      <c r="N50" s="86"/>
    </row>
    <row r="51" spans="1:14" ht="18.75">
      <c r="A51" s="10"/>
      <c r="B51" s="73" t="s">
        <v>133</v>
      </c>
      <c r="C51" s="74" t="s">
        <v>0</v>
      </c>
      <c r="D51" s="41">
        <f>(1*2+3.3*2)*4+(2.7*3)*4</f>
        <v>66.800000000000011</v>
      </c>
      <c r="E51" s="123">
        <v>1</v>
      </c>
      <c r="F51" s="124">
        <v>15</v>
      </c>
      <c r="G51" s="172"/>
      <c r="H51" s="125"/>
      <c r="I51" s="117">
        <f t="shared" si="23"/>
        <v>15</v>
      </c>
      <c r="J51" s="48"/>
      <c r="K51" s="47">
        <f t="shared" si="26"/>
        <v>1002.0000000000002</v>
      </c>
      <c r="L51" s="47"/>
      <c r="M51" s="49"/>
      <c r="N51" s="86"/>
    </row>
    <row r="52" spans="1:14" s="65" customFormat="1" ht="18.75">
      <c r="A52" s="14"/>
      <c r="B52" s="79" t="s">
        <v>27</v>
      </c>
      <c r="C52" s="80"/>
      <c r="D52" s="81"/>
      <c r="E52" s="179"/>
      <c r="F52" s="161"/>
      <c r="G52" s="171"/>
      <c r="H52" s="171"/>
      <c r="I52" s="117"/>
      <c r="J52" s="82"/>
      <c r="K52" s="83"/>
      <c r="L52" s="64">
        <f>SUM(K53:K57)</f>
        <v>39855</v>
      </c>
      <c r="M52" s="64"/>
      <c r="N52" s="84"/>
    </row>
    <row r="53" spans="1:14" ht="18.75">
      <c r="A53" s="10"/>
      <c r="B53" s="73" t="s">
        <v>135</v>
      </c>
      <c r="C53" s="74" t="s">
        <v>0</v>
      </c>
      <c r="D53" s="41">
        <f>(6.6*2+2.3*4)*4</f>
        <v>89.6</v>
      </c>
      <c r="E53" s="123">
        <v>1</v>
      </c>
      <c r="F53" s="124">
        <v>15</v>
      </c>
      <c r="G53" s="122"/>
      <c r="H53" s="125"/>
      <c r="I53" s="117">
        <f t="shared" si="23"/>
        <v>15</v>
      </c>
      <c r="J53" s="48"/>
      <c r="K53" s="47">
        <f t="shared" ref="K53:K62" si="27">D53*I53</f>
        <v>1344</v>
      </c>
      <c r="L53" s="47"/>
      <c r="M53" s="49"/>
      <c r="N53" s="86"/>
    </row>
    <row r="54" spans="1:14" ht="18.75">
      <c r="A54" s="10"/>
      <c r="B54" s="73" t="s">
        <v>136</v>
      </c>
      <c r="C54" s="74" t="s">
        <v>0</v>
      </c>
      <c r="D54" s="41">
        <f>2.7*3*4</f>
        <v>32.400000000000006</v>
      </c>
      <c r="E54" s="123">
        <v>1</v>
      </c>
      <c r="F54" s="124">
        <v>15</v>
      </c>
      <c r="G54" s="172"/>
      <c r="H54" s="125"/>
      <c r="I54" s="117">
        <f t="shared" si="23"/>
        <v>15</v>
      </c>
      <c r="J54" s="48"/>
      <c r="K54" s="47">
        <f t="shared" si="27"/>
        <v>486.00000000000011</v>
      </c>
      <c r="L54" s="47"/>
      <c r="M54" s="49"/>
      <c r="N54" s="86"/>
    </row>
    <row r="55" spans="1:14" ht="18.75">
      <c r="A55" s="10"/>
      <c r="B55" s="73" t="s">
        <v>137</v>
      </c>
      <c r="C55" s="74" t="s">
        <v>0</v>
      </c>
      <c r="D55" s="41">
        <f>(3.3+2.4)*2*3</f>
        <v>34.199999999999996</v>
      </c>
      <c r="E55" s="123">
        <v>1</v>
      </c>
      <c r="F55" s="124">
        <v>65</v>
      </c>
      <c r="G55" s="172">
        <v>80</v>
      </c>
      <c r="H55" s="125"/>
      <c r="I55" s="117">
        <f t="shared" si="23"/>
        <v>145</v>
      </c>
      <c r="J55" s="48"/>
      <c r="K55" s="47">
        <f t="shared" si="27"/>
        <v>4958.9999999999991</v>
      </c>
      <c r="L55" s="47"/>
      <c r="M55" s="49"/>
      <c r="N55" s="86"/>
    </row>
    <row r="56" spans="1:14" ht="18.75">
      <c r="A56" s="10"/>
      <c r="B56" s="73" t="s">
        <v>189</v>
      </c>
      <c r="C56" s="74" t="s">
        <v>0</v>
      </c>
      <c r="D56" s="41">
        <f>(3.3*2+1*2)*4</f>
        <v>34.4</v>
      </c>
      <c r="E56" s="123">
        <v>1</v>
      </c>
      <c r="F56" s="124">
        <v>15</v>
      </c>
      <c r="G56" s="172"/>
      <c r="H56" s="125"/>
      <c r="I56" s="117">
        <f t="shared" si="23"/>
        <v>15</v>
      </c>
      <c r="J56" s="48"/>
      <c r="K56" s="47">
        <f t="shared" si="27"/>
        <v>516</v>
      </c>
      <c r="L56" s="47"/>
      <c r="M56" s="49"/>
      <c r="N56" s="86"/>
    </row>
    <row r="57" spans="1:14" ht="18.75">
      <c r="A57" s="10"/>
      <c r="B57" s="73" t="s">
        <v>138</v>
      </c>
      <c r="C57" s="74" t="s">
        <v>0</v>
      </c>
      <c r="D57" s="41">
        <f>(6.2+2.5*2+3.3+1)*3.5</f>
        <v>54.25</v>
      </c>
      <c r="E57" s="123">
        <v>1</v>
      </c>
      <c r="F57" s="124">
        <v>600</v>
      </c>
      <c r="G57" s="172"/>
      <c r="H57" s="125"/>
      <c r="I57" s="117">
        <f t="shared" si="23"/>
        <v>600</v>
      </c>
      <c r="J57" s="48"/>
      <c r="K57" s="47">
        <f t="shared" si="27"/>
        <v>32550</v>
      </c>
      <c r="L57" s="47"/>
      <c r="M57" s="49"/>
      <c r="N57" s="86"/>
    </row>
    <row r="58" spans="1:14" s="65" customFormat="1" ht="18.75">
      <c r="A58" s="14"/>
      <c r="B58" s="79" t="s">
        <v>28</v>
      </c>
      <c r="C58" s="80"/>
      <c r="D58" s="81"/>
      <c r="E58" s="179"/>
      <c r="F58" s="161"/>
      <c r="G58" s="171"/>
      <c r="H58" s="171"/>
      <c r="I58" s="117"/>
      <c r="J58" s="82"/>
      <c r="K58" s="83"/>
      <c r="L58" s="64">
        <f>SUM(K59:K64)</f>
        <v>62814</v>
      </c>
      <c r="M58" s="64"/>
      <c r="N58" s="84"/>
    </row>
    <row r="59" spans="1:14" ht="18.75">
      <c r="A59" s="10"/>
      <c r="B59" s="73" t="s">
        <v>135</v>
      </c>
      <c r="C59" s="74" t="s">
        <v>0</v>
      </c>
      <c r="D59" s="41">
        <f>4.89+7.43</f>
        <v>12.32</v>
      </c>
      <c r="E59" s="123">
        <v>1</v>
      </c>
      <c r="F59" s="124">
        <v>15</v>
      </c>
      <c r="G59" s="122"/>
      <c r="H59" s="125"/>
      <c r="I59" s="117">
        <f t="shared" si="23"/>
        <v>15</v>
      </c>
      <c r="J59" s="48"/>
      <c r="K59" s="47">
        <f t="shared" si="27"/>
        <v>184.8</v>
      </c>
      <c r="L59" s="47"/>
      <c r="M59" s="49"/>
      <c r="N59" s="86"/>
    </row>
    <row r="60" spans="1:14" ht="30">
      <c r="A60" s="10"/>
      <c r="B60" s="73" t="s">
        <v>141</v>
      </c>
      <c r="C60" s="74" t="s">
        <v>0</v>
      </c>
      <c r="D60" s="41">
        <f>7.76*2+15.14</f>
        <v>30.66</v>
      </c>
      <c r="E60" s="123">
        <v>1</v>
      </c>
      <c r="F60" s="124">
        <v>15</v>
      </c>
      <c r="G60" s="172"/>
      <c r="H60" s="125"/>
      <c r="I60" s="117">
        <f t="shared" si="23"/>
        <v>15</v>
      </c>
      <c r="J60" s="48"/>
      <c r="K60" s="47">
        <f t="shared" si="27"/>
        <v>459.9</v>
      </c>
      <c r="L60" s="47"/>
      <c r="M60" s="49"/>
      <c r="N60" s="86"/>
    </row>
    <row r="61" spans="1:14" ht="30">
      <c r="A61" s="10"/>
      <c r="B61" s="73" t="s">
        <v>140</v>
      </c>
      <c r="C61" s="74" t="s">
        <v>0</v>
      </c>
      <c r="D61" s="41">
        <f>7.76*2+15.14</f>
        <v>30.66</v>
      </c>
      <c r="E61" s="123">
        <v>1</v>
      </c>
      <c r="F61" s="124">
        <v>150</v>
      </c>
      <c r="G61" s="172"/>
      <c r="H61" s="125"/>
      <c r="I61" s="117">
        <f t="shared" si="23"/>
        <v>150</v>
      </c>
      <c r="J61" s="48"/>
      <c r="K61" s="47">
        <f t="shared" si="27"/>
        <v>4599</v>
      </c>
      <c r="L61" s="47"/>
      <c r="M61" s="49"/>
      <c r="N61" s="86"/>
    </row>
    <row r="62" spans="1:14" ht="18.75">
      <c r="A62" s="10"/>
      <c r="B62" s="73" t="s">
        <v>142</v>
      </c>
      <c r="C62" s="74" t="s">
        <v>0</v>
      </c>
      <c r="D62" s="41">
        <v>35.85</v>
      </c>
      <c r="E62" s="123">
        <v>1</v>
      </c>
      <c r="F62" s="124">
        <v>150</v>
      </c>
      <c r="G62" s="172">
        <v>200</v>
      </c>
      <c r="H62" s="125"/>
      <c r="I62" s="117">
        <f t="shared" si="23"/>
        <v>350</v>
      </c>
      <c r="J62" s="48"/>
      <c r="K62" s="47">
        <f t="shared" si="27"/>
        <v>12547.5</v>
      </c>
      <c r="L62" s="47"/>
      <c r="M62" s="49"/>
      <c r="N62" s="86"/>
    </row>
    <row r="63" spans="1:14" ht="18.75">
      <c r="A63" s="10"/>
      <c r="B63" s="73" t="s">
        <v>143</v>
      </c>
      <c r="C63" s="74" t="s">
        <v>0</v>
      </c>
      <c r="D63" s="41">
        <f>33.89+79.27</f>
        <v>113.16</v>
      </c>
      <c r="E63" s="123">
        <v>1</v>
      </c>
      <c r="F63" s="124">
        <v>150</v>
      </c>
      <c r="G63" s="172">
        <v>200</v>
      </c>
      <c r="H63" s="125"/>
      <c r="I63" s="117">
        <f>SUM(F63:H63)*E63</f>
        <v>350</v>
      </c>
      <c r="J63" s="48"/>
      <c r="K63" s="47">
        <f>D63*I63</f>
        <v>39606</v>
      </c>
      <c r="L63" s="47"/>
      <c r="M63" s="49"/>
      <c r="N63" s="86"/>
    </row>
    <row r="64" spans="1:14" ht="18.75">
      <c r="A64" s="10"/>
      <c r="B64" s="73" t="s">
        <v>195</v>
      </c>
      <c r="C64" s="74" t="s">
        <v>0</v>
      </c>
      <c r="D64" s="41">
        <f>15.14+30</f>
        <v>45.14</v>
      </c>
      <c r="E64" s="123">
        <v>1</v>
      </c>
      <c r="F64" s="124">
        <v>15</v>
      </c>
      <c r="G64" s="172">
        <f>350*0.3</f>
        <v>105</v>
      </c>
      <c r="H64" s="125"/>
      <c r="I64" s="117">
        <f>SUM(F64:H64)*E64</f>
        <v>120</v>
      </c>
      <c r="J64" s="48"/>
      <c r="K64" s="47">
        <f>D64*I64</f>
        <v>5416.8</v>
      </c>
      <c r="L64" s="47"/>
      <c r="M64" s="49"/>
      <c r="N64" s="86"/>
    </row>
    <row r="65" spans="1:14" s="60" customFormat="1" ht="18">
      <c r="A65" s="8"/>
      <c r="B65" s="91" t="s">
        <v>20</v>
      </c>
      <c r="C65" s="76"/>
      <c r="D65" s="77"/>
      <c r="E65" s="178"/>
      <c r="F65" s="160"/>
      <c r="G65" s="170"/>
      <c r="H65" s="170"/>
      <c r="I65" s="45"/>
      <c r="J65" s="6"/>
      <c r="K65" s="7"/>
      <c r="L65" s="7"/>
      <c r="M65" s="78">
        <f>SUM(L66:L73)</f>
        <v>44227.125</v>
      </c>
      <c r="N65" s="9"/>
    </row>
    <row r="66" spans="1:14" s="65" customFormat="1" ht="18.75">
      <c r="A66" s="14"/>
      <c r="B66" s="89" t="s">
        <v>40</v>
      </c>
      <c r="C66" s="80"/>
      <c r="D66" s="81"/>
      <c r="E66" s="179"/>
      <c r="F66" s="161"/>
      <c r="G66" s="171"/>
      <c r="H66" s="171"/>
      <c r="I66" s="39"/>
      <c r="J66" s="82"/>
      <c r="K66" s="83"/>
      <c r="L66" s="64">
        <f>SUM(K67:K71)</f>
        <v>15735.95</v>
      </c>
      <c r="M66" s="64"/>
      <c r="N66" s="84"/>
    </row>
    <row r="67" spans="1:14" ht="18.75">
      <c r="A67" s="10"/>
      <c r="B67" s="191" t="s">
        <v>41</v>
      </c>
      <c r="C67" s="74" t="s">
        <v>0</v>
      </c>
      <c r="D67" s="41">
        <f>4.89+7.43+7.76+2.98+35.85+15.14</f>
        <v>74.05</v>
      </c>
      <c r="E67" s="123">
        <v>1</v>
      </c>
      <c r="F67" s="124">
        <v>1</v>
      </c>
      <c r="G67" s="125">
        <v>2.5</v>
      </c>
      <c r="H67" s="125"/>
      <c r="I67" s="117">
        <f>SUM(F67:H67)*E67</f>
        <v>3.5</v>
      </c>
      <c r="J67" s="48"/>
      <c r="K67" s="47">
        <f>D67*I67</f>
        <v>259.17500000000001</v>
      </c>
      <c r="L67" s="47"/>
      <c r="M67" s="49"/>
      <c r="N67" s="86"/>
    </row>
    <row r="68" spans="1:14" ht="18.75">
      <c r="A68" s="10"/>
      <c r="B68" s="73" t="s">
        <v>144</v>
      </c>
      <c r="C68" s="74" t="s">
        <v>0</v>
      </c>
      <c r="D68" s="41">
        <f>D67</f>
        <v>74.05</v>
      </c>
      <c r="E68" s="123">
        <v>1</v>
      </c>
      <c r="F68" s="124">
        <v>2</v>
      </c>
      <c r="G68" s="125">
        <f>400*0.25</f>
        <v>100</v>
      </c>
      <c r="H68" s="125"/>
      <c r="I68" s="117">
        <f t="shared" ref="I68:I71" si="28">SUM(F68:H68)*E68</f>
        <v>102</v>
      </c>
      <c r="J68" s="48"/>
      <c r="K68" s="47">
        <f t="shared" ref="K68:K71" si="29">D68*I68</f>
        <v>7553.0999999999995</v>
      </c>
      <c r="L68" s="47"/>
      <c r="M68" s="49"/>
      <c r="N68" s="86"/>
    </row>
    <row r="69" spans="1:14" ht="18.75">
      <c r="A69" s="10"/>
      <c r="B69" s="73" t="s">
        <v>41</v>
      </c>
      <c r="C69" s="74" t="s">
        <v>0</v>
      </c>
      <c r="D69" s="41">
        <f>D68</f>
        <v>74.05</v>
      </c>
      <c r="E69" s="123">
        <v>1</v>
      </c>
      <c r="F69" s="124">
        <v>1</v>
      </c>
      <c r="G69" s="125">
        <v>2.5</v>
      </c>
      <c r="H69" s="125"/>
      <c r="I69" s="117">
        <f t="shared" si="28"/>
        <v>3.5</v>
      </c>
      <c r="J69" s="48"/>
      <c r="K69" s="47">
        <f t="shared" si="29"/>
        <v>259.17500000000001</v>
      </c>
      <c r="L69" s="47"/>
      <c r="M69" s="49"/>
      <c r="N69" s="86"/>
    </row>
    <row r="70" spans="1:14" ht="36.75" customHeight="1">
      <c r="A70" s="10"/>
      <c r="B70" s="73" t="s">
        <v>145</v>
      </c>
      <c r="C70" s="74" t="s">
        <v>0</v>
      </c>
      <c r="D70" s="41">
        <f>D69</f>
        <v>74.05</v>
      </c>
      <c r="E70" s="123">
        <v>1</v>
      </c>
      <c r="F70" s="124">
        <v>15</v>
      </c>
      <c r="G70" s="125">
        <v>75</v>
      </c>
      <c r="H70" s="125"/>
      <c r="I70" s="117">
        <f t="shared" si="28"/>
        <v>90</v>
      </c>
      <c r="J70" s="48"/>
      <c r="K70" s="47">
        <f t="shared" si="29"/>
        <v>6664.5</v>
      </c>
      <c r="L70" s="47"/>
      <c r="M70" s="49"/>
      <c r="N70" s="86"/>
    </row>
    <row r="71" spans="1:14" ht="33.75" customHeight="1">
      <c r="A71" s="10"/>
      <c r="B71" s="73" t="s">
        <v>146</v>
      </c>
      <c r="C71" s="74" t="s">
        <v>1</v>
      </c>
      <c r="D71" s="41">
        <v>1</v>
      </c>
      <c r="E71" s="123">
        <v>1</v>
      </c>
      <c r="F71" s="124">
        <v>1000</v>
      </c>
      <c r="G71" s="125"/>
      <c r="H71" s="125"/>
      <c r="I71" s="117">
        <f t="shared" si="28"/>
        <v>1000</v>
      </c>
      <c r="J71" s="48"/>
      <c r="K71" s="47">
        <f t="shared" si="29"/>
        <v>1000</v>
      </c>
      <c r="L71" s="47"/>
      <c r="M71" s="49"/>
      <c r="N71" s="86"/>
    </row>
    <row r="72" spans="1:14" s="65" customFormat="1" ht="18.75">
      <c r="A72" s="14"/>
      <c r="B72" s="79" t="s">
        <v>29</v>
      </c>
      <c r="C72" s="80"/>
      <c r="D72" s="81"/>
      <c r="E72" s="179"/>
      <c r="F72" s="161"/>
      <c r="G72" s="171"/>
      <c r="H72" s="171"/>
      <c r="I72" s="39"/>
      <c r="J72" s="82"/>
      <c r="K72" s="83"/>
      <c r="L72" s="64">
        <f>SUM(K73:K79)</f>
        <v>28491.174999999999</v>
      </c>
      <c r="M72" s="64"/>
      <c r="N72" s="84"/>
    </row>
    <row r="73" spans="1:14" ht="18.75">
      <c r="A73" s="10"/>
      <c r="B73" s="73" t="s">
        <v>66</v>
      </c>
      <c r="C73" s="74" t="s">
        <v>0</v>
      </c>
      <c r="D73" s="41">
        <v>7.76</v>
      </c>
      <c r="E73" s="123">
        <v>1</v>
      </c>
      <c r="F73" s="124">
        <v>65</v>
      </c>
      <c r="G73" s="122">
        <v>80</v>
      </c>
      <c r="H73" s="125"/>
      <c r="I73" s="117">
        <f t="shared" ref="I73:I78" si="30">SUM(F73:H73)*E73</f>
        <v>145</v>
      </c>
      <c r="J73" s="48"/>
      <c r="K73" s="47">
        <f t="shared" ref="K73:K78" si="31">D73*I73</f>
        <v>1125.2</v>
      </c>
      <c r="L73" s="47"/>
      <c r="M73" s="49"/>
      <c r="N73" s="86"/>
    </row>
    <row r="74" spans="1:14" ht="18.75">
      <c r="A74" s="10"/>
      <c r="B74" s="73" t="s">
        <v>67</v>
      </c>
      <c r="C74" s="74" t="s">
        <v>0</v>
      </c>
      <c r="D74" s="41">
        <f>4.89+7.43+2.98</f>
        <v>15.3</v>
      </c>
      <c r="E74" s="123">
        <v>1</v>
      </c>
      <c r="F74" s="124">
        <v>65</v>
      </c>
      <c r="G74" s="125">
        <v>35</v>
      </c>
      <c r="H74" s="125"/>
      <c r="I74" s="117">
        <f t="shared" si="30"/>
        <v>100</v>
      </c>
      <c r="J74" s="48"/>
      <c r="K74" s="47">
        <f t="shared" si="31"/>
        <v>1530</v>
      </c>
      <c r="L74" s="47"/>
      <c r="M74" s="49"/>
      <c r="N74" s="86"/>
    </row>
    <row r="75" spans="1:14" ht="18.75">
      <c r="A75" s="10"/>
      <c r="B75" s="73" t="s">
        <v>43</v>
      </c>
      <c r="C75" s="74" t="s">
        <v>2</v>
      </c>
      <c r="D75" s="41">
        <f>6.6*2+2.3*4+1*2+3.3*2</f>
        <v>31</v>
      </c>
      <c r="E75" s="123">
        <v>1</v>
      </c>
      <c r="F75" s="124">
        <v>25</v>
      </c>
      <c r="G75" s="125">
        <v>15</v>
      </c>
      <c r="H75" s="125"/>
      <c r="I75" s="117">
        <f t="shared" si="30"/>
        <v>40</v>
      </c>
      <c r="J75" s="48"/>
      <c r="K75" s="47">
        <f t="shared" si="31"/>
        <v>1240</v>
      </c>
      <c r="L75" s="47"/>
      <c r="M75" s="49"/>
      <c r="N75" s="86"/>
    </row>
    <row r="76" spans="1:14" ht="18.75">
      <c r="A76" s="10"/>
      <c r="B76" s="73" t="s">
        <v>99</v>
      </c>
      <c r="C76" s="87" t="s">
        <v>0</v>
      </c>
      <c r="D76" s="181">
        <f>35.85-D77</f>
        <v>34.85</v>
      </c>
      <c r="E76" s="123">
        <v>1.05</v>
      </c>
      <c r="F76" s="124">
        <v>150</v>
      </c>
      <c r="G76" s="125">
        <v>120</v>
      </c>
      <c r="H76" s="125"/>
      <c r="I76" s="117">
        <f t="shared" si="30"/>
        <v>283.5</v>
      </c>
      <c r="J76" s="48"/>
      <c r="K76" s="47">
        <f t="shared" si="31"/>
        <v>9879.9750000000004</v>
      </c>
      <c r="L76" s="47"/>
      <c r="M76" s="49"/>
      <c r="N76" s="86"/>
    </row>
    <row r="77" spans="1:14" ht="18.75">
      <c r="A77" s="10"/>
      <c r="B77" s="73" t="s">
        <v>147</v>
      </c>
      <c r="C77" s="87" t="s">
        <v>0</v>
      </c>
      <c r="D77" s="181">
        <v>1</v>
      </c>
      <c r="E77" s="123">
        <v>1</v>
      </c>
      <c r="F77" s="124">
        <v>150</v>
      </c>
      <c r="G77" s="125">
        <v>950</v>
      </c>
      <c r="H77" s="125"/>
      <c r="I77" s="117">
        <f t="shared" si="30"/>
        <v>1100</v>
      </c>
      <c r="J77" s="48"/>
      <c r="K77" s="47">
        <f t="shared" si="31"/>
        <v>1100</v>
      </c>
      <c r="L77" s="47"/>
      <c r="M77" s="49"/>
      <c r="N77" s="86"/>
    </row>
    <row r="78" spans="1:14" ht="18.75">
      <c r="A78" s="10"/>
      <c r="B78" s="73" t="s">
        <v>100</v>
      </c>
      <c r="C78" s="87" t="s">
        <v>0</v>
      </c>
      <c r="D78" s="181">
        <v>113.16</v>
      </c>
      <c r="E78" s="123">
        <v>1</v>
      </c>
      <c r="F78" s="124">
        <v>20</v>
      </c>
      <c r="G78" s="125">
        <v>80</v>
      </c>
      <c r="H78" s="125"/>
      <c r="I78" s="117">
        <f t="shared" si="30"/>
        <v>100</v>
      </c>
      <c r="J78" s="48"/>
      <c r="K78" s="47">
        <f t="shared" si="31"/>
        <v>11316</v>
      </c>
      <c r="L78" s="47"/>
      <c r="M78" s="49"/>
      <c r="N78" s="86"/>
    </row>
    <row r="79" spans="1:14" ht="18.75">
      <c r="A79" s="10"/>
      <c r="B79" s="73" t="s">
        <v>148</v>
      </c>
      <c r="C79" s="87" t="s">
        <v>73</v>
      </c>
      <c r="D79" s="181">
        <v>50</v>
      </c>
      <c r="E79" s="123">
        <v>1</v>
      </c>
      <c r="F79" s="124">
        <v>10</v>
      </c>
      <c r="G79" s="125">
        <v>36</v>
      </c>
      <c r="H79" s="125"/>
      <c r="I79" s="117">
        <f t="shared" ref="I79:I94" si="32">SUM(F79:H79)*E79</f>
        <v>46</v>
      </c>
      <c r="J79" s="48"/>
      <c r="K79" s="47">
        <f t="shared" ref="K79" si="33">D79*I79</f>
        <v>2300</v>
      </c>
      <c r="L79" s="47"/>
      <c r="M79" s="49"/>
      <c r="N79" s="86"/>
    </row>
    <row r="80" spans="1:14" s="60" customFormat="1" ht="18">
      <c r="A80" s="8"/>
      <c r="B80" s="92" t="s">
        <v>23</v>
      </c>
      <c r="C80" s="76"/>
      <c r="D80" s="77"/>
      <c r="E80" s="178"/>
      <c r="F80" s="160"/>
      <c r="G80" s="170"/>
      <c r="H80" s="170"/>
      <c r="I80" s="45"/>
      <c r="J80" s="6"/>
      <c r="K80" s="7"/>
      <c r="L80" s="7"/>
      <c r="M80" s="78">
        <f>SUM(L81:L95)</f>
        <v>95745.155000000013</v>
      </c>
      <c r="N80" s="120"/>
    </row>
    <row r="81" spans="1:14" s="65" customFormat="1" ht="18.75">
      <c r="A81" s="14"/>
      <c r="B81" s="79" t="s">
        <v>154</v>
      </c>
      <c r="C81" s="80"/>
      <c r="D81" s="81">
        <f>D82</f>
        <v>185.35</v>
      </c>
      <c r="E81" s="179"/>
      <c r="F81" s="161"/>
      <c r="G81" s="171"/>
      <c r="H81" s="171"/>
      <c r="I81" s="117">
        <f t="shared" ref="I81" si="34">SUM(F81:H81)*E81</f>
        <v>0</v>
      </c>
      <c r="J81" s="82"/>
      <c r="K81" s="83"/>
      <c r="L81" s="64">
        <f>SUM(K82:K83)</f>
        <v>14828</v>
      </c>
      <c r="M81" s="64"/>
      <c r="N81" s="84"/>
    </row>
    <row r="82" spans="1:14" ht="18.75">
      <c r="A82" s="10"/>
      <c r="B82" s="73" t="s">
        <v>71</v>
      </c>
      <c r="C82" s="74" t="s">
        <v>0</v>
      </c>
      <c r="D82" s="41">
        <v>185.35</v>
      </c>
      <c r="E82" s="123">
        <v>1</v>
      </c>
      <c r="F82" s="124">
        <v>45</v>
      </c>
      <c r="G82" s="125"/>
      <c r="H82" s="125"/>
      <c r="I82" s="117">
        <f t="shared" si="32"/>
        <v>45</v>
      </c>
      <c r="J82" s="48"/>
      <c r="K82" s="47">
        <f t="shared" ref="K82:K88" si="35">D82*I82</f>
        <v>8340.75</v>
      </c>
      <c r="L82" s="47"/>
      <c r="M82" s="49"/>
      <c r="N82" s="182"/>
    </row>
    <row r="83" spans="1:14" ht="18.75">
      <c r="A83" s="10"/>
      <c r="B83" s="73" t="s">
        <v>72</v>
      </c>
      <c r="C83" s="74" t="s">
        <v>0</v>
      </c>
      <c r="D83" s="41">
        <f>D82</f>
        <v>185.35</v>
      </c>
      <c r="E83" s="123">
        <v>1</v>
      </c>
      <c r="F83" s="124">
        <v>35</v>
      </c>
      <c r="G83" s="125"/>
      <c r="H83" s="125"/>
      <c r="I83" s="117">
        <f t="shared" si="32"/>
        <v>35</v>
      </c>
      <c r="J83" s="48"/>
      <c r="K83" s="47">
        <f t="shared" si="35"/>
        <v>6487.25</v>
      </c>
      <c r="L83" s="47"/>
      <c r="M83" s="49"/>
      <c r="N83" s="182"/>
    </row>
    <row r="84" spans="1:14" s="65" customFormat="1" ht="18.75">
      <c r="A84" s="14"/>
      <c r="B84" s="79" t="s">
        <v>46</v>
      </c>
      <c r="C84" s="80"/>
      <c r="D84" s="81">
        <f>D85</f>
        <v>153.54</v>
      </c>
      <c r="E84" s="179"/>
      <c r="F84" s="161"/>
      <c r="G84" s="171"/>
      <c r="H84" s="171"/>
      <c r="I84" s="117">
        <f t="shared" si="32"/>
        <v>0</v>
      </c>
      <c r="J84" s="82"/>
      <c r="K84" s="83"/>
      <c r="L84" s="64">
        <f>SUM(K85:K91)</f>
        <v>70269.515000000014</v>
      </c>
      <c r="M84" s="64"/>
      <c r="N84" s="84"/>
    </row>
    <row r="85" spans="1:14" ht="18.75">
      <c r="A85" s="10"/>
      <c r="B85" s="73" t="s">
        <v>68</v>
      </c>
      <c r="C85" s="74" t="s">
        <v>0</v>
      </c>
      <c r="D85" s="41">
        <v>153.54</v>
      </c>
      <c r="E85" s="123">
        <v>1</v>
      </c>
      <c r="F85" s="124">
        <v>40</v>
      </c>
      <c r="G85" s="125">
        <v>35</v>
      </c>
      <c r="H85" s="125"/>
      <c r="I85" s="117">
        <f t="shared" si="32"/>
        <v>75</v>
      </c>
      <c r="J85" s="48"/>
      <c r="K85" s="47">
        <f t="shared" si="35"/>
        <v>11515.5</v>
      </c>
      <c r="L85" s="47"/>
      <c r="M85" s="49"/>
      <c r="N85" s="86"/>
    </row>
    <row r="86" spans="1:14" ht="18.75">
      <c r="A86" s="10"/>
      <c r="B86" s="73" t="s">
        <v>69</v>
      </c>
      <c r="C86" s="74" t="s">
        <v>0</v>
      </c>
      <c r="D86" s="41">
        <f>D85</f>
        <v>153.54</v>
      </c>
      <c r="E86" s="123">
        <v>1</v>
      </c>
      <c r="F86" s="124">
        <v>1</v>
      </c>
      <c r="G86" s="125">
        <v>2.5</v>
      </c>
      <c r="H86" s="125"/>
      <c r="I86" s="117">
        <f t="shared" si="32"/>
        <v>3.5</v>
      </c>
      <c r="J86" s="48"/>
      <c r="K86" s="47">
        <f t="shared" si="35"/>
        <v>537.39</v>
      </c>
      <c r="L86" s="47"/>
      <c r="M86" s="49"/>
      <c r="N86" s="90"/>
    </row>
    <row r="87" spans="1:14" ht="18.75">
      <c r="A87" s="10"/>
      <c r="B87" s="73" t="s">
        <v>70</v>
      </c>
      <c r="C87" s="74" t="s">
        <v>0</v>
      </c>
      <c r="D87" s="41">
        <f>D86</f>
        <v>153.54</v>
      </c>
      <c r="E87" s="123">
        <v>1</v>
      </c>
      <c r="F87" s="124">
        <v>20</v>
      </c>
      <c r="G87" s="125">
        <v>25</v>
      </c>
      <c r="H87" s="125"/>
      <c r="I87" s="117">
        <f t="shared" si="32"/>
        <v>45</v>
      </c>
      <c r="J87" s="48"/>
      <c r="K87" s="47">
        <f t="shared" si="35"/>
        <v>6909.2999999999993</v>
      </c>
      <c r="L87" s="47"/>
      <c r="M87" s="49"/>
      <c r="N87" s="90"/>
    </row>
    <row r="88" spans="1:14" ht="23.25" customHeight="1">
      <c r="A88" s="10"/>
      <c r="B88" s="73" t="s">
        <v>192</v>
      </c>
      <c r="C88" s="74" t="s">
        <v>0</v>
      </c>
      <c r="D88" s="41">
        <f>D87*0.25</f>
        <v>38.384999999999998</v>
      </c>
      <c r="E88" s="123">
        <v>1</v>
      </c>
      <c r="F88" s="124">
        <v>20</v>
      </c>
      <c r="G88" s="125">
        <f>G87</f>
        <v>25</v>
      </c>
      <c r="H88" s="125"/>
      <c r="I88" s="117">
        <f t="shared" ref="I88" si="36">SUM(F88:H88)*E88</f>
        <v>45</v>
      </c>
      <c r="J88" s="48"/>
      <c r="K88" s="47">
        <f t="shared" si="35"/>
        <v>1727.3249999999998</v>
      </c>
      <c r="L88" s="47"/>
      <c r="M88" s="49"/>
      <c r="N88" s="86"/>
    </row>
    <row r="89" spans="1:14" ht="18.75">
      <c r="A89" s="10"/>
      <c r="B89" s="73" t="s">
        <v>149</v>
      </c>
      <c r="C89" s="74" t="s">
        <v>74</v>
      </c>
      <c r="D89" s="41">
        <v>2</v>
      </c>
      <c r="E89" s="123">
        <v>1</v>
      </c>
      <c r="F89" s="124">
        <v>700</v>
      </c>
      <c r="G89" s="125"/>
      <c r="H89" s="125"/>
      <c r="I89" s="117">
        <f t="shared" si="32"/>
        <v>700</v>
      </c>
      <c r="J89" s="48"/>
      <c r="K89" s="47">
        <f t="shared" ref="K89:K91" si="37">D89*I89</f>
        <v>1400</v>
      </c>
      <c r="L89" s="47"/>
      <c r="M89" s="49"/>
      <c r="N89" s="90"/>
    </row>
    <row r="90" spans="1:14" ht="18.75">
      <c r="A90" s="10"/>
      <c r="B90" s="73" t="s">
        <v>150</v>
      </c>
      <c r="C90" s="74" t="s">
        <v>73</v>
      </c>
      <c r="D90" s="41">
        <v>10</v>
      </c>
      <c r="E90" s="123">
        <v>1</v>
      </c>
      <c r="F90" s="124">
        <v>100</v>
      </c>
      <c r="G90" s="125"/>
      <c r="H90" s="125"/>
      <c r="I90" s="117">
        <f t="shared" si="32"/>
        <v>100</v>
      </c>
      <c r="J90" s="48"/>
      <c r="K90" s="47">
        <f t="shared" si="37"/>
        <v>1000</v>
      </c>
      <c r="L90" s="47"/>
      <c r="M90" s="49"/>
      <c r="N90" s="86"/>
    </row>
    <row r="91" spans="1:14" ht="18.75">
      <c r="A91" s="10"/>
      <c r="B91" s="73" t="s">
        <v>151</v>
      </c>
      <c r="C91" s="74" t="s">
        <v>73</v>
      </c>
      <c r="D91" s="41">
        <f>6.6*2+5.5*2+21.6*2</f>
        <v>67.400000000000006</v>
      </c>
      <c r="E91" s="123">
        <v>1</v>
      </c>
      <c r="F91" s="124">
        <v>700</v>
      </c>
      <c r="G91" s="125"/>
      <c r="H91" s="125"/>
      <c r="I91" s="117">
        <f t="shared" si="32"/>
        <v>700</v>
      </c>
      <c r="J91" s="48"/>
      <c r="K91" s="47">
        <f t="shared" si="37"/>
        <v>47180.000000000007</v>
      </c>
      <c r="L91" s="47"/>
      <c r="M91" s="49"/>
      <c r="N91" s="86"/>
    </row>
    <row r="92" spans="1:14" s="65" customFormat="1" ht="18.75">
      <c r="A92" s="14"/>
      <c r="B92" s="79" t="s">
        <v>47</v>
      </c>
      <c r="C92" s="80"/>
      <c r="D92" s="81"/>
      <c r="E92" s="179"/>
      <c r="F92" s="161"/>
      <c r="G92" s="171"/>
      <c r="H92" s="171"/>
      <c r="I92" s="117">
        <f t="shared" si="32"/>
        <v>0</v>
      </c>
      <c r="J92" s="82"/>
      <c r="K92" s="83"/>
      <c r="L92" s="64">
        <f>SUM(K93:K95)</f>
        <v>10647.640000000001</v>
      </c>
      <c r="M92" s="64"/>
      <c r="N92" s="84"/>
    </row>
    <row r="93" spans="1:14" ht="18.75">
      <c r="A93" s="10"/>
      <c r="B93" s="73" t="s">
        <v>193</v>
      </c>
      <c r="C93" s="74" t="s">
        <v>0</v>
      </c>
      <c r="D93" s="41">
        <v>31.67</v>
      </c>
      <c r="E93" s="123">
        <v>1</v>
      </c>
      <c r="F93" s="124">
        <v>20</v>
      </c>
      <c r="G93" s="125">
        <f>750*0.14*1.2</f>
        <v>126.00000000000001</v>
      </c>
      <c r="H93" s="125"/>
      <c r="I93" s="117">
        <f t="shared" si="32"/>
        <v>146</v>
      </c>
      <c r="J93" s="48"/>
      <c r="K93" s="47">
        <f t="shared" ref="K93:K95" si="38">D93*I93</f>
        <v>4623.8200000000006</v>
      </c>
      <c r="L93" s="47"/>
      <c r="M93" s="49"/>
      <c r="N93" s="86"/>
    </row>
    <row r="94" spans="1:14" ht="33.75" customHeight="1">
      <c r="A94" s="10"/>
      <c r="B94" s="73" t="s">
        <v>152</v>
      </c>
      <c r="C94" s="74" t="s">
        <v>0</v>
      </c>
      <c r="D94" s="41">
        <v>31.67</v>
      </c>
      <c r="E94" s="123">
        <v>1</v>
      </c>
      <c r="F94" s="124">
        <v>20</v>
      </c>
      <c r="G94" s="125">
        <f>G93</f>
        <v>126.00000000000001</v>
      </c>
      <c r="H94" s="125"/>
      <c r="I94" s="117">
        <f t="shared" si="32"/>
        <v>146</v>
      </c>
      <c r="J94" s="48"/>
      <c r="K94" s="47">
        <f t="shared" si="38"/>
        <v>4623.8200000000006</v>
      </c>
      <c r="L94" s="47"/>
      <c r="M94" s="49"/>
      <c r="N94" s="86"/>
    </row>
    <row r="95" spans="1:14" ht="18.75">
      <c r="A95" s="10"/>
      <c r="B95" s="73" t="s">
        <v>194</v>
      </c>
      <c r="C95" s="74" t="s">
        <v>74</v>
      </c>
      <c r="D95" s="41">
        <v>2</v>
      </c>
      <c r="E95" s="123">
        <v>1</v>
      </c>
      <c r="F95" s="124">
        <v>700</v>
      </c>
      <c r="G95" s="125"/>
      <c r="H95" s="125"/>
      <c r="I95" s="117">
        <f t="shared" ref="I95" si="39">SUM(F95:H95)*E95</f>
        <v>700</v>
      </c>
      <c r="J95" s="48"/>
      <c r="K95" s="47">
        <f t="shared" si="38"/>
        <v>1400</v>
      </c>
      <c r="L95" s="47"/>
      <c r="M95" s="49"/>
      <c r="N95" s="90"/>
    </row>
    <row r="96" spans="1:14" s="60" customFormat="1" ht="18">
      <c r="A96" s="8"/>
      <c r="B96" s="92" t="s">
        <v>16</v>
      </c>
      <c r="C96" s="76"/>
      <c r="D96" s="77"/>
      <c r="E96" s="178"/>
      <c r="F96" s="160"/>
      <c r="G96" s="170"/>
      <c r="H96" s="170"/>
      <c r="I96" s="45"/>
      <c r="J96" s="6"/>
      <c r="K96" s="7"/>
      <c r="L96" s="7"/>
      <c r="M96" s="78">
        <f>SUM(L97:L109)</f>
        <v>379902.5</v>
      </c>
      <c r="N96" s="120"/>
    </row>
    <row r="97" spans="1:15" s="65" customFormat="1" ht="31.5">
      <c r="A97" s="14"/>
      <c r="B97" s="79" t="s">
        <v>155</v>
      </c>
      <c r="C97" s="80"/>
      <c r="D97" s="81"/>
      <c r="E97" s="179"/>
      <c r="F97" s="161"/>
      <c r="G97" s="173"/>
      <c r="H97" s="171"/>
      <c r="I97" s="39"/>
      <c r="J97" s="82"/>
      <c r="K97" s="83"/>
      <c r="L97" s="64">
        <f>SUM(K98:K99)</f>
        <v>169312.5</v>
      </c>
      <c r="M97" s="64"/>
      <c r="N97" s="84"/>
    </row>
    <row r="98" spans="1:15" ht="30">
      <c r="A98" s="10"/>
      <c r="B98" s="85" t="s">
        <v>108</v>
      </c>
      <c r="C98" s="74" t="s">
        <v>0</v>
      </c>
      <c r="D98" s="41">
        <v>210</v>
      </c>
      <c r="E98" s="123">
        <v>1</v>
      </c>
      <c r="F98" s="124">
        <v>650</v>
      </c>
      <c r="G98" s="125"/>
      <c r="H98" s="125"/>
      <c r="I98" s="117">
        <f t="shared" ref="I98:I106" si="40">SUM(F98:H98)*E98</f>
        <v>650</v>
      </c>
      <c r="J98" s="48"/>
      <c r="K98" s="47">
        <f t="shared" ref="K98:K99" si="41">D98*I98</f>
        <v>136500</v>
      </c>
      <c r="L98" s="47"/>
      <c r="M98" s="49"/>
      <c r="N98" s="90"/>
    </row>
    <row r="99" spans="1:15" ht="18.75">
      <c r="A99" s="10"/>
      <c r="B99" s="85" t="s">
        <v>153</v>
      </c>
      <c r="C99" s="74" t="s">
        <v>0</v>
      </c>
      <c r="D99" s="41">
        <v>210</v>
      </c>
      <c r="E99" s="123">
        <v>1</v>
      </c>
      <c r="F99" s="124">
        <v>25</v>
      </c>
      <c r="G99" s="125">
        <f>350*0.25*1.5</f>
        <v>131.25</v>
      </c>
      <c r="H99" s="125"/>
      <c r="I99" s="117">
        <f t="shared" si="40"/>
        <v>156.25</v>
      </c>
      <c r="J99" s="48"/>
      <c r="K99" s="47">
        <f t="shared" si="41"/>
        <v>32812.5</v>
      </c>
      <c r="L99" s="47"/>
      <c r="M99" s="49"/>
      <c r="N99" s="90"/>
    </row>
    <row r="100" spans="1:15" s="65" customFormat="1" ht="18.75">
      <c r="A100" s="14"/>
      <c r="B100" s="79" t="s">
        <v>156</v>
      </c>
      <c r="C100" s="80"/>
      <c r="D100" s="81"/>
      <c r="E100" s="179"/>
      <c r="F100" s="161"/>
      <c r="G100" s="173"/>
      <c r="H100" s="171"/>
      <c r="I100" s="117">
        <f t="shared" si="40"/>
        <v>0</v>
      </c>
      <c r="J100" s="82"/>
      <c r="K100" s="83"/>
      <c r="L100" s="64">
        <f>SUM(K101:K102)</f>
        <v>0</v>
      </c>
      <c r="M100" s="64"/>
      <c r="N100" s="84"/>
    </row>
    <row r="101" spans="1:15" ht="30">
      <c r="A101" s="10"/>
      <c r="B101" s="85" t="s">
        <v>108</v>
      </c>
      <c r="C101" s="74" t="s">
        <v>0</v>
      </c>
      <c r="D101" s="41">
        <v>210</v>
      </c>
      <c r="E101" s="123">
        <v>0</v>
      </c>
      <c r="F101" s="124">
        <v>350</v>
      </c>
      <c r="G101" s="125"/>
      <c r="H101" s="125"/>
      <c r="I101" s="117">
        <f t="shared" si="40"/>
        <v>0</v>
      </c>
      <c r="J101" s="48"/>
      <c r="K101" s="47">
        <f t="shared" ref="K101:K102" si="42">D101*I101</f>
        <v>0</v>
      </c>
      <c r="L101" s="47"/>
      <c r="M101" s="49"/>
      <c r="N101" s="90"/>
      <c r="O101" s="42">
        <v>285</v>
      </c>
    </row>
    <row r="102" spans="1:15" ht="18.75">
      <c r="A102" s="10"/>
      <c r="B102" s="85" t="s">
        <v>157</v>
      </c>
      <c r="C102" s="74" t="s">
        <v>0</v>
      </c>
      <c r="D102" s="41">
        <v>210</v>
      </c>
      <c r="E102" s="123">
        <v>0</v>
      </c>
      <c r="F102" s="124">
        <v>25</v>
      </c>
      <c r="G102" s="125">
        <f>750*0.1</f>
        <v>75</v>
      </c>
      <c r="H102" s="125"/>
      <c r="I102" s="117">
        <f t="shared" si="40"/>
        <v>0</v>
      </c>
      <c r="J102" s="48"/>
      <c r="K102" s="47">
        <f t="shared" si="42"/>
        <v>0</v>
      </c>
      <c r="L102" s="47"/>
      <c r="M102" s="49"/>
      <c r="N102" s="90"/>
    </row>
    <row r="103" spans="1:15" s="65" customFormat="1" ht="18.75">
      <c r="A103" s="14"/>
      <c r="B103" s="79" t="s">
        <v>160</v>
      </c>
      <c r="C103" s="80"/>
      <c r="D103" s="81"/>
      <c r="E103" s="179"/>
      <c r="F103" s="161"/>
      <c r="G103" s="173"/>
      <c r="H103" s="171"/>
      <c r="I103" s="117">
        <f t="shared" si="40"/>
        <v>0</v>
      </c>
      <c r="J103" s="82"/>
      <c r="K103" s="83"/>
      <c r="L103" s="64">
        <f>SUM(K104:K106)</f>
        <v>176600</v>
      </c>
      <c r="M103" s="64"/>
      <c r="N103" s="84"/>
    </row>
    <row r="104" spans="1:15" ht="18.75">
      <c r="A104" s="10"/>
      <c r="B104" s="85" t="s">
        <v>159</v>
      </c>
      <c r="C104" s="74" t="s">
        <v>74</v>
      </c>
      <c r="D104" s="41">
        <v>2</v>
      </c>
      <c r="E104" s="123">
        <v>1</v>
      </c>
      <c r="F104" s="124">
        <v>5200</v>
      </c>
      <c r="G104" s="125"/>
      <c r="H104" s="125"/>
      <c r="I104" s="117">
        <f t="shared" si="40"/>
        <v>5200</v>
      </c>
      <c r="J104" s="48"/>
      <c r="K104" s="47">
        <f t="shared" ref="K104:K106" si="43">D104*I104</f>
        <v>10400</v>
      </c>
      <c r="L104" s="47"/>
      <c r="M104" s="49"/>
      <c r="N104" s="90"/>
    </row>
    <row r="105" spans="1:15" ht="30">
      <c r="A105" s="10"/>
      <c r="B105" s="85" t="s">
        <v>158</v>
      </c>
      <c r="C105" s="74" t="s">
        <v>74</v>
      </c>
      <c r="D105" s="41">
        <v>2</v>
      </c>
      <c r="E105" s="123">
        <v>1</v>
      </c>
      <c r="F105" s="124">
        <v>4500</v>
      </c>
      <c r="G105" s="125"/>
      <c r="H105" s="125"/>
      <c r="I105" s="117">
        <f t="shared" si="40"/>
        <v>4500</v>
      </c>
      <c r="J105" s="48"/>
      <c r="K105" s="47">
        <f t="shared" si="43"/>
        <v>9000</v>
      </c>
      <c r="L105" s="47"/>
      <c r="M105" s="49"/>
      <c r="N105" s="90"/>
    </row>
    <row r="106" spans="1:15" ht="30">
      <c r="A106" s="10"/>
      <c r="B106" s="85" t="s">
        <v>101</v>
      </c>
      <c r="C106" s="74" t="s">
        <v>0</v>
      </c>
      <c r="D106" s="41">
        <f>(6.6+5.3*2+3*3)*4</f>
        <v>104.8</v>
      </c>
      <c r="E106" s="123">
        <v>1</v>
      </c>
      <c r="F106" s="124">
        <v>1500</v>
      </c>
      <c r="G106" s="125"/>
      <c r="H106" s="125"/>
      <c r="I106" s="117">
        <f t="shared" si="40"/>
        <v>1500</v>
      </c>
      <c r="J106" s="48"/>
      <c r="K106" s="47">
        <f t="shared" si="43"/>
        <v>157200</v>
      </c>
      <c r="L106" s="47"/>
      <c r="M106" s="49"/>
      <c r="N106" s="90"/>
    </row>
    <row r="107" spans="1:15" s="65" customFormat="1" ht="18.75">
      <c r="A107" s="14"/>
      <c r="B107" s="79" t="s">
        <v>161</v>
      </c>
      <c r="C107" s="80"/>
      <c r="D107" s="81"/>
      <c r="E107" s="179"/>
      <c r="F107" s="161"/>
      <c r="G107" s="173"/>
      <c r="H107" s="171"/>
      <c r="I107" s="117">
        <f t="shared" ref="I107:I110" si="44">SUM(F107:H107)*E107</f>
        <v>0</v>
      </c>
      <c r="J107" s="82"/>
      <c r="K107" s="83"/>
      <c r="L107" s="64">
        <f>SUM(K108:K110)</f>
        <v>33990</v>
      </c>
      <c r="M107" s="64"/>
      <c r="N107" s="84"/>
    </row>
    <row r="108" spans="1:15" ht="18.75">
      <c r="A108" s="10"/>
      <c r="B108" s="85" t="s">
        <v>161</v>
      </c>
      <c r="C108" s="74" t="s">
        <v>0</v>
      </c>
      <c r="D108" s="41">
        <f>4.2*3*2</f>
        <v>25.200000000000003</v>
      </c>
      <c r="E108" s="123">
        <v>1</v>
      </c>
      <c r="F108" s="124">
        <v>600</v>
      </c>
      <c r="G108" s="125"/>
      <c r="H108" s="125"/>
      <c r="I108" s="117">
        <f t="shared" si="44"/>
        <v>600</v>
      </c>
      <c r="J108" s="48"/>
      <c r="K108" s="47">
        <f t="shared" ref="K108:K110" si="45">D108*I108</f>
        <v>15120.000000000002</v>
      </c>
      <c r="L108" s="47"/>
      <c r="M108" s="49"/>
      <c r="N108" s="90"/>
    </row>
    <row r="109" spans="1:15" ht="18.75">
      <c r="A109" s="10"/>
      <c r="B109" s="85" t="s">
        <v>162</v>
      </c>
      <c r="C109" s="74" t="s">
        <v>0</v>
      </c>
      <c r="D109" s="41">
        <f>D108</f>
        <v>25.200000000000003</v>
      </c>
      <c r="E109" s="123">
        <v>1</v>
      </c>
      <c r="F109" s="124">
        <v>600</v>
      </c>
      <c r="G109" s="125"/>
      <c r="H109" s="125"/>
      <c r="I109" s="117">
        <f t="shared" si="44"/>
        <v>600</v>
      </c>
      <c r="J109" s="48"/>
      <c r="K109" s="47">
        <f t="shared" si="45"/>
        <v>15120.000000000002</v>
      </c>
      <c r="L109" s="47"/>
      <c r="M109" s="49"/>
      <c r="N109" s="90"/>
    </row>
    <row r="110" spans="1:15" ht="18.75">
      <c r="A110" s="10"/>
      <c r="B110" s="85" t="s">
        <v>163</v>
      </c>
      <c r="C110" s="87" t="s">
        <v>0</v>
      </c>
      <c r="D110" s="181">
        <f>5*2+7.5*2</f>
        <v>25</v>
      </c>
      <c r="E110" s="123">
        <v>1</v>
      </c>
      <c r="F110" s="124">
        <v>150</v>
      </c>
      <c r="G110" s="125"/>
      <c r="H110" s="125"/>
      <c r="I110" s="117">
        <f t="shared" si="44"/>
        <v>150</v>
      </c>
      <c r="J110" s="48"/>
      <c r="K110" s="47">
        <f t="shared" si="45"/>
        <v>3750</v>
      </c>
      <c r="L110" s="47"/>
      <c r="M110" s="49"/>
      <c r="N110" s="90"/>
    </row>
    <row r="111" spans="1:15" s="60" customFormat="1" ht="30">
      <c r="A111" s="8"/>
      <c r="B111" s="92" t="s">
        <v>17</v>
      </c>
      <c r="C111" s="76"/>
      <c r="D111" s="77"/>
      <c r="E111" s="178"/>
      <c r="F111" s="160"/>
      <c r="G111" s="170"/>
      <c r="H111" s="170"/>
      <c r="I111" s="45"/>
      <c r="J111" s="6"/>
      <c r="K111" s="7"/>
      <c r="L111" s="7"/>
      <c r="M111" s="78">
        <f>SUM(L112:L145)</f>
        <v>79180</v>
      </c>
      <c r="N111" s="9"/>
    </row>
    <row r="112" spans="1:15" s="65" customFormat="1" ht="18.75">
      <c r="A112" s="14"/>
      <c r="B112" s="79" t="s">
        <v>33</v>
      </c>
      <c r="C112" s="80"/>
      <c r="D112" s="81"/>
      <c r="E112" s="179"/>
      <c r="F112" s="161"/>
      <c r="G112" s="171"/>
      <c r="H112" s="171"/>
      <c r="I112" s="39"/>
      <c r="J112" s="82"/>
      <c r="K112" s="83"/>
      <c r="L112" s="64">
        <f>SUM(K113:K144)</f>
        <v>79180</v>
      </c>
      <c r="M112" s="64"/>
      <c r="N112" s="84"/>
    </row>
    <row r="113" spans="1:15" ht="18.75">
      <c r="A113" s="10"/>
      <c r="B113" s="73" t="s">
        <v>75</v>
      </c>
      <c r="C113" s="74" t="s">
        <v>74</v>
      </c>
      <c r="D113" s="41">
        <v>1</v>
      </c>
      <c r="E113" s="123"/>
      <c r="F113" s="124"/>
      <c r="G113" s="125"/>
      <c r="H113" s="125"/>
      <c r="I113" s="117">
        <f t="shared" ref="I113:I144" si="46">SUM(F113:H113)*E113</f>
        <v>0</v>
      </c>
      <c r="J113" s="126"/>
      <c r="K113" s="47">
        <f t="shared" ref="K113:K144" si="47">D113*I113</f>
        <v>0</v>
      </c>
      <c r="L113" s="47"/>
      <c r="M113" s="49"/>
      <c r="N113" s="86"/>
      <c r="O113" s="42" t="s">
        <v>170</v>
      </c>
    </row>
    <row r="114" spans="1:15" ht="18.75">
      <c r="A114" s="10"/>
      <c r="B114" s="73" t="s">
        <v>76</v>
      </c>
      <c r="C114" s="74" t="s">
        <v>74</v>
      </c>
      <c r="D114" s="41">
        <v>1</v>
      </c>
      <c r="E114" s="123"/>
      <c r="F114" s="124"/>
      <c r="G114" s="125"/>
      <c r="H114" s="125"/>
      <c r="I114" s="117">
        <f t="shared" si="46"/>
        <v>0</v>
      </c>
      <c r="J114" s="48"/>
      <c r="K114" s="47">
        <f t="shared" si="47"/>
        <v>0</v>
      </c>
      <c r="L114" s="47"/>
      <c r="M114" s="49"/>
      <c r="N114" s="86"/>
      <c r="O114" s="42" t="s">
        <v>170</v>
      </c>
    </row>
    <row r="115" spans="1:15" ht="18.75">
      <c r="A115" s="10"/>
      <c r="B115" s="73" t="s">
        <v>77</v>
      </c>
      <c r="C115" s="74" t="s">
        <v>74</v>
      </c>
      <c r="D115" s="41">
        <v>1</v>
      </c>
      <c r="E115" s="123">
        <v>1</v>
      </c>
      <c r="F115" s="124">
        <v>200</v>
      </c>
      <c r="G115" s="125">
        <v>3500</v>
      </c>
      <c r="H115" s="125"/>
      <c r="I115" s="117">
        <f t="shared" si="46"/>
        <v>3700</v>
      </c>
      <c r="J115" s="48"/>
      <c r="K115" s="47">
        <f t="shared" si="47"/>
        <v>3700</v>
      </c>
      <c r="L115" s="47"/>
      <c r="M115" s="49"/>
      <c r="N115" s="86"/>
    </row>
    <row r="116" spans="1:15" ht="24.75" customHeight="1">
      <c r="A116" s="10"/>
      <c r="B116" s="73" t="s">
        <v>78</v>
      </c>
      <c r="C116" s="74" t="s">
        <v>74</v>
      </c>
      <c r="D116" s="41">
        <v>2</v>
      </c>
      <c r="E116" s="123">
        <v>1</v>
      </c>
      <c r="F116" s="124">
        <v>100</v>
      </c>
      <c r="G116" s="125">
        <v>350</v>
      </c>
      <c r="H116" s="125"/>
      <c r="I116" s="117">
        <f t="shared" si="46"/>
        <v>450</v>
      </c>
      <c r="J116" s="48"/>
      <c r="K116" s="47">
        <f t="shared" si="47"/>
        <v>900</v>
      </c>
      <c r="L116" s="47"/>
      <c r="M116" s="49"/>
      <c r="N116" s="86"/>
    </row>
    <row r="117" spans="1:15" ht="18.75">
      <c r="A117" s="10"/>
      <c r="B117" s="73" t="s">
        <v>79</v>
      </c>
      <c r="C117" s="74" t="s">
        <v>74</v>
      </c>
      <c r="D117" s="41">
        <v>2</v>
      </c>
      <c r="E117" s="123">
        <v>1</v>
      </c>
      <c r="F117" s="124">
        <v>100</v>
      </c>
      <c r="G117" s="125">
        <v>350</v>
      </c>
      <c r="H117" s="125"/>
      <c r="I117" s="117">
        <f t="shared" si="46"/>
        <v>450</v>
      </c>
      <c r="J117" s="48"/>
      <c r="K117" s="47">
        <f t="shared" si="47"/>
        <v>900</v>
      </c>
      <c r="L117" s="47"/>
      <c r="M117" s="49"/>
      <c r="N117" s="86"/>
    </row>
    <row r="118" spans="1:15" ht="18.75">
      <c r="A118" s="10"/>
      <c r="B118" s="73" t="s">
        <v>80</v>
      </c>
      <c r="C118" s="74" t="s">
        <v>74</v>
      </c>
      <c r="D118" s="41">
        <v>1</v>
      </c>
      <c r="E118" s="123">
        <v>1</v>
      </c>
      <c r="F118" s="124">
        <v>100</v>
      </c>
      <c r="G118" s="125">
        <v>650</v>
      </c>
      <c r="H118" s="125"/>
      <c r="I118" s="117">
        <f t="shared" si="46"/>
        <v>750</v>
      </c>
      <c r="J118" s="48"/>
      <c r="K118" s="47">
        <f t="shared" si="47"/>
        <v>750</v>
      </c>
      <c r="L118" s="47"/>
      <c r="M118" s="49"/>
      <c r="N118" s="86"/>
    </row>
    <row r="119" spans="1:15" ht="18.75">
      <c r="A119" s="10"/>
      <c r="B119" s="73" t="s">
        <v>81</v>
      </c>
      <c r="C119" s="74" t="s">
        <v>74</v>
      </c>
      <c r="D119" s="41">
        <v>1</v>
      </c>
      <c r="E119" s="123">
        <v>1</v>
      </c>
      <c r="F119" s="124">
        <v>100</v>
      </c>
      <c r="G119" s="125">
        <v>650</v>
      </c>
      <c r="H119" s="125"/>
      <c r="I119" s="117">
        <f t="shared" si="46"/>
        <v>750</v>
      </c>
      <c r="J119" s="48"/>
      <c r="K119" s="47">
        <f t="shared" si="47"/>
        <v>750</v>
      </c>
      <c r="L119" s="47"/>
      <c r="M119" s="49"/>
      <c r="N119" s="86"/>
    </row>
    <row r="120" spans="1:15" ht="18.75">
      <c r="A120" s="10"/>
      <c r="B120" s="73" t="s">
        <v>82</v>
      </c>
      <c r="C120" s="74" t="s">
        <v>74</v>
      </c>
      <c r="D120" s="41">
        <v>1</v>
      </c>
      <c r="E120" s="123">
        <v>1</v>
      </c>
      <c r="F120" s="124">
        <v>100</v>
      </c>
      <c r="G120" s="125">
        <v>180</v>
      </c>
      <c r="H120" s="125"/>
      <c r="I120" s="117">
        <f t="shared" si="46"/>
        <v>280</v>
      </c>
      <c r="J120" s="48"/>
      <c r="K120" s="47">
        <f t="shared" si="47"/>
        <v>280</v>
      </c>
      <c r="L120" s="47"/>
      <c r="M120" s="49"/>
      <c r="N120" s="86"/>
    </row>
    <row r="121" spans="1:15" ht="18.75">
      <c r="A121" s="10"/>
      <c r="B121" s="73" t="s">
        <v>83</v>
      </c>
      <c r="C121" s="74" t="s">
        <v>74</v>
      </c>
      <c r="D121" s="41">
        <v>1</v>
      </c>
      <c r="E121" s="123">
        <v>1</v>
      </c>
      <c r="F121" s="124">
        <v>100</v>
      </c>
      <c r="G121" s="125">
        <v>300</v>
      </c>
      <c r="H121" s="125"/>
      <c r="I121" s="117">
        <f t="shared" si="46"/>
        <v>400</v>
      </c>
      <c r="J121" s="48"/>
      <c r="K121" s="47">
        <f t="shared" si="47"/>
        <v>400</v>
      </c>
      <c r="L121" s="47"/>
      <c r="M121" s="49"/>
      <c r="N121" s="86"/>
    </row>
    <row r="122" spans="1:15" ht="18.75">
      <c r="A122" s="10"/>
      <c r="B122" s="73" t="s">
        <v>109</v>
      </c>
      <c r="C122" s="74" t="s">
        <v>74</v>
      </c>
      <c r="D122" s="41">
        <v>1</v>
      </c>
      <c r="E122" s="123">
        <v>1</v>
      </c>
      <c r="F122" s="124">
        <v>50</v>
      </c>
      <c r="G122" s="125">
        <v>2500</v>
      </c>
      <c r="H122" s="125"/>
      <c r="I122" s="117">
        <f t="shared" si="46"/>
        <v>2550</v>
      </c>
      <c r="J122" s="48"/>
      <c r="K122" s="47">
        <f t="shared" si="47"/>
        <v>2550</v>
      </c>
      <c r="L122" s="47"/>
      <c r="M122" s="49"/>
      <c r="N122" s="86"/>
    </row>
    <row r="123" spans="1:15" ht="18.75">
      <c r="A123" s="10"/>
      <c r="B123" s="73" t="s">
        <v>106</v>
      </c>
      <c r="C123" s="74" t="s">
        <v>74</v>
      </c>
      <c r="D123" s="41">
        <v>1</v>
      </c>
      <c r="E123" s="123">
        <v>1</v>
      </c>
      <c r="F123" s="124">
        <v>50</v>
      </c>
      <c r="G123" s="125">
        <v>2500</v>
      </c>
      <c r="H123" s="125"/>
      <c r="I123" s="117">
        <f t="shared" si="46"/>
        <v>2550</v>
      </c>
      <c r="J123" s="48"/>
      <c r="K123" s="47">
        <f t="shared" si="47"/>
        <v>2550</v>
      </c>
      <c r="L123" s="47"/>
      <c r="M123" s="49"/>
      <c r="N123" s="86"/>
    </row>
    <row r="124" spans="1:15" ht="18.75">
      <c r="A124" s="10"/>
      <c r="B124" s="73" t="s">
        <v>84</v>
      </c>
      <c r="C124" s="74" t="s">
        <v>74</v>
      </c>
      <c r="D124" s="41">
        <v>1</v>
      </c>
      <c r="E124" s="123">
        <v>1</v>
      </c>
      <c r="F124" s="124">
        <v>50</v>
      </c>
      <c r="G124" s="125">
        <v>150</v>
      </c>
      <c r="H124" s="125"/>
      <c r="I124" s="117">
        <f t="shared" si="46"/>
        <v>200</v>
      </c>
      <c r="J124" s="48"/>
      <c r="K124" s="47">
        <f t="shared" si="47"/>
        <v>200</v>
      </c>
      <c r="L124" s="47"/>
      <c r="M124" s="49"/>
      <c r="N124" s="86"/>
    </row>
    <row r="125" spans="1:15" ht="18.75">
      <c r="A125" s="10"/>
      <c r="B125" s="73" t="s">
        <v>85</v>
      </c>
      <c r="C125" s="74" t="s">
        <v>74</v>
      </c>
      <c r="D125" s="41">
        <v>1</v>
      </c>
      <c r="E125" s="123">
        <v>1</v>
      </c>
      <c r="F125" s="124">
        <v>50</v>
      </c>
      <c r="G125" s="125">
        <v>200</v>
      </c>
      <c r="H125" s="125"/>
      <c r="I125" s="117">
        <f t="shared" si="46"/>
        <v>250</v>
      </c>
      <c r="J125" s="48"/>
      <c r="K125" s="47">
        <f t="shared" si="47"/>
        <v>250</v>
      </c>
      <c r="L125" s="47"/>
      <c r="M125" s="49"/>
      <c r="N125" s="86"/>
    </row>
    <row r="126" spans="1:15" ht="18.75">
      <c r="A126" s="10"/>
      <c r="B126" s="73" t="s">
        <v>86</v>
      </c>
      <c r="C126" s="74" t="s">
        <v>74</v>
      </c>
      <c r="D126" s="41">
        <v>1</v>
      </c>
      <c r="E126" s="123"/>
      <c r="F126" s="124"/>
      <c r="G126" s="125"/>
      <c r="H126" s="125"/>
      <c r="I126" s="117">
        <f t="shared" si="46"/>
        <v>0</v>
      </c>
      <c r="J126" s="48"/>
      <c r="K126" s="47">
        <f t="shared" si="47"/>
        <v>0</v>
      </c>
      <c r="L126" s="47"/>
      <c r="M126" s="49"/>
      <c r="N126" s="86"/>
      <c r="O126" s="42" t="s">
        <v>170</v>
      </c>
    </row>
    <row r="127" spans="1:15" ht="18.75">
      <c r="A127" s="10"/>
      <c r="B127" s="73" t="s">
        <v>87</v>
      </c>
      <c r="C127" s="74" t="s">
        <v>74</v>
      </c>
      <c r="D127" s="41">
        <v>1</v>
      </c>
      <c r="E127" s="123">
        <v>1</v>
      </c>
      <c r="F127" s="124">
        <v>50</v>
      </c>
      <c r="G127" s="125">
        <v>50</v>
      </c>
      <c r="H127" s="125"/>
      <c r="I127" s="117">
        <f t="shared" si="46"/>
        <v>100</v>
      </c>
      <c r="J127" s="48"/>
      <c r="K127" s="47">
        <f t="shared" si="47"/>
        <v>100</v>
      </c>
      <c r="L127" s="47"/>
      <c r="M127" s="49"/>
      <c r="N127" s="86"/>
    </row>
    <row r="128" spans="1:15" ht="30.75" customHeight="1">
      <c r="A128" s="10"/>
      <c r="B128" s="73" t="s">
        <v>88</v>
      </c>
      <c r="C128" s="74" t="s">
        <v>74</v>
      </c>
      <c r="D128" s="41">
        <v>2</v>
      </c>
      <c r="E128" s="123">
        <v>1</v>
      </c>
      <c r="F128" s="124">
        <v>150</v>
      </c>
      <c r="G128" s="125">
        <v>1000</v>
      </c>
      <c r="H128" s="125"/>
      <c r="I128" s="117">
        <f t="shared" si="46"/>
        <v>1150</v>
      </c>
      <c r="J128" s="48"/>
      <c r="K128" s="47">
        <f t="shared" si="47"/>
        <v>2300</v>
      </c>
      <c r="L128" s="47"/>
      <c r="M128" s="49"/>
      <c r="N128" s="86"/>
    </row>
    <row r="129" spans="1:15" ht="18.75">
      <c r="A129" s="10"/>
      <c r="B129" s="73" t="s">
        <v>89</v>
      </c>
      <c r="C129" s="74" t="s">
        <v>74</v>
      </c>
      <c r="D129" s="41">
        <v>2</v>
      </c>
      <c r="E129" s="123"/>
      <c r="F129" s="124"/>
      <c r="G129" s="125"/>
      <c r="H129" s="125"/>
      <c r="I129" s="117">
        <f t="shared" si="46"/>
        <v>0</v>
      </c>
      <c r="J129" s="48"/>
      <c r="K129" s="47">
        <f t="shared" si="47"/>
        <v>0</v>
      </c>
      <c r="L129" s="47"/>
      <c r="M129" s="49"/>
      <c r="N129" s="86"/>
      <c r="O129" s="42" t="s">
        <v>164</v>
      </c>
    </row>
    <row r="130" spans="1:15" ht="18.75">
      <c r="A130" s="10"/>
      <c r="B130" s="73" t="s">
        <v>90</v>
      </c>
      <c r="C130" s="74" t="s">
        <v>74</v>
      </c>
      <c r="D130" s="41">
        <v>4</v>
      </c>
      <c r="E130" s="123">
        <v>1</v>
      </c>
      <c r="F130" s="124">
        <v>100</v>
      </c>
      <c r="G130" s="125">
        <v>500</v>
      </c>
      <c r="H130" s="125"/>
      <c r="I130" s="117">
        <f t="shared" si="46"/>
        <v>600</v>
      </c>
      <c r="J130" s="48"/>
      <c r="K130" s="47">
        <f t="shared" si="47"/>
        <v>2400</v>
      </c>
      <c r="L130" s="47"/>
      <c r="M130" s="49"/>
      <c r="N130" s="86"/>
    </row>
    <row r="131" spans="1:15" ht="18.75">
      <c r="A131" s="10"/>
      <c r="B131" s="73" t="s">
        <v>91</v>
      </c>
      <c r="C131" s="74" t="s">
        <v>74</v>
      </c>
      <c r="D131" s="41">
        <v>1</v>
      </c>
      <c r="E131" s="123">
        <v>1</v>
      </c>
      <c r="F131" s="124">
        <v>100</v>
      </c>
      <c r="G131" s="125">
        <v>1000</v>
      </c>
      <c r="H131" s="125"/>
      <c r="I131" s="117">
        <f t="shared" si="46"/>
        <v>1100</v>
      </c>
      <c r="J131" s="48"/>
      <c r="K131" s="47">
        <f t="shared" si="47"/>
        <v>1100</v>
      </c>
      <c r="L131" s="47"/>
      <c r="M131" s="49"/>
      <c r="N131" s="86"/>
    </row>
    <row r="132" spans="1:15" ht="18.75">
      <c r="A132" s="10"/>
      <c r="B132" s="73" t="s">
        <v>102</v>
      </c>
      <c r="C132" s="74" t="s">
        <v>74</v>
      </c>
      <c r="D132" s="41">
        <v>1</v>
      </c>
      <c r="E132" s="123">
        <v>1</v>
      </c>
      <c r="F132" s="124">
        <v>10000</v>
      </c>
      <c r="G132" s="125"/>
      <c r="H132" s="125"/>
      <c r="I132" s="117">
        <f t="shared" si="46"/>
        <v>10000</v>
      </c>
      <c r="J132" s="48"/>
      <c r="K132" s="47">
        <f t="shared" si="47"/>
        <v>10000</v>
      </c>
      <c r="L132" s="47"/>
      <c r="M132" s="49"/>
      <c r="N132" s="86"/>
    </row>
    <row r="133" spans="1:15" ht="18.75">
      <c r="A133" s="10"/>
      <c r="B133" s="73" t="s">
        <v>103</v>
      </c>
      <c r="C133" s="74" t="s">
        <v>74</v>
      </c>
      <c r="D133" s="41">
        <v>2</v>
      </c>
      <c r="E133" s="123">
        <v>1</v>
      </c>
      <c r="F133" s="124">
        <v>5000</v>
      </c>
      <c r="G133" s="125"/>
      <c r="H133" s="125"/>
      <c r="I133" s="117">
        <f t="shared" si="46"/>
        <v>5000</v>
      </c>
      <c r="J133" s="48"/>
      <c r="K133" s="47">
        <f t="shared" si="47"/>
        <v>10000</v>
      </c>
      <c r="L133" s="47"/>
      <c r="M133" s="49"/>
      <c r="N133" s="86"/>
    </row>
    <row r="134" spans="1:15" ht="18.75">
      <c r="A134" s="10"/>
      <c r="B134" s="73" t="s">
        <v>104</v>
      </c>
      <c r="C134" s="74" t="s">
        <v>74</v>
      </c>
      <c r="D134" s="41">
        <v>6</v>
      </c>
      <c r="E134" s="123">
        <v>1</v>
      </c>
      <c r="F134" s="124">
        <v>100</v>
      </c>
      <c r="G134" s="125">
        <v>750</v>
      </c>
      <c r="H134" s="125"/>
      <c r="I134" s="117">
        <f t="shared" si="46"/>
        <v>850</v>
      </c>
      <c r="J134" s="48"/>
      <c r="K134" s="47">
        <f t="shared" si="47"/>
        <v>5100</v>
      </c>
      <c r="L134" s="47"/>
      <c r="M134" s="49"/>
      <c r="N134" s="86"/>
    </row>
    <row r="135" spans="1:15" ht="18.75">
      <c r="A135" s="10"/>
      <c r="B135" s="73" t="s">
        <v>92</v>
      </c>
      <c r="C135" s="74" t="s">
        <v>74</v>
      </c>
      <c r="D135" s="41">
        <v>1</v>
      </c>
      <c r="E135" s="123">
        <v>1</v>
      </c>
      <c r="F135" s="124">
        <v>100</v>
      </c>
      <c r="G135" s="125">
        <v>500</v>
      </c>
      <c r="H135" s="125"/>
      <c r="I135" s="117">
        <f t="shared" si="46"/>
        <v>600</v>
      </c>
      <c r="J135" s="48"/>
      <c r="K135" s="47">
        <f t="shared" si="47"/>
        <v>600</v>
      </c>
      <c r="L135" s="47"/>
      <c r="M135" s="49"/>
      <c r="N135" s="86"/>
    </row>
    <row r="136" spans="1:15" ht="18.75">
      <c r="A136" s="10"/>
      <c r="B136" s="73" t="s">
        <v>110</v>
      </c>
      <c r="C136" s="74" t="s">
        <v>74</v>
      </c>
      <c r="D136" s="41">
        <v>0</v>
      </c>
      <c r="E136" s="123">
        <v>1</v>
      </c>
      <c r="F136" s="124">
        <v>50</v>
      </c>
      <c r="G136" s="125">
        <v>2500</v>
      </c>
      <c r="H136" s="125"/>
      <c r="I136" s="117">
        <f t="shared" si="46"/>
        <v>2550</v>
      </c>
      <c r="J136" s="48"/>
      <c r="K136" s="47">
        <f t="shared" si="47"/>
        <v>0</v>
      </c>
      <c r="L136" s="47"/>
      <c r="M136" s="49"/>
      <c r="N136" s="86"/>
    </row>
    <row r="137" spans="1:15" ht="18.75">
      <c r="A137" s="10"/>
      <c r="B137" s="73" t="s">
        <v>93</v>
      </c>
      <c r="C137" s="74" t="s">
        <v>74</v>
      </c>
      <c r="D137" s="41">
        <v>1</v>
      </c>
      <c r="E137" s="123">
        <v>1</v>
      </c>
      <c r="F137" s="124">
        <v>50</v>
      </c>
      <c r="G137" s="125">
        <v>100</v>
      </c>
      <c r="H137" s="125"/>
      <c r="I137" s="117">
        <f t="shared" si="46"/>
        <v>150</v>
      </c>
      <c r="J137" s="48"/>
      <c r="K137" s="47">
        <f t="shared" si="47"/>
        <v>150</v>
      </c>
      <c r="L137" s="47"/>
      <c r="M137" s="49"/>
      <c r="N137" s="86"/>
    </row>
    <row r="138" spans="1:15" ht="18.75">
      <c r="A138" s="10"/>
      <c r="B138" s="73" t="s">
        <v>94</v>
      </c>
      <c r="C138" s="74" t="s">
        <v>74</v>
      </c>
      <c r="D138" s="41">
        <v>12</v>
      </c>
      <c r="E138" s="123">
        <v>1</v>
      </c>
      <c r="F138" s="124">
        <v>100</v>
      </c>
      <c r="G138" s="125">
        <v>300</v>
      </c>
      <c r="H138" s="125"/>
      <c r="I138" s="117">
        <f t="shared" si="46"/>
        <v>400</v>
      </c>
      <c r="J138" s="48"/>
      <c r="K138" s="47">
        <f t="shared" si="47"/>
        <v>4800</v>
      </c>
      <c r="L138" s="47"/>
      <c r="M138" s="49"/>
      <c r="N138" s="86"/>
    </row>
    <row r="139" spans="1:15" ht="18.75">
      <c r="A139" s="10"/>
      <c r="B139" s="73" t="s">
        <v>184</v>
      </c>
      <c r="C139" s="74" t="s">
        <v>1</v>
      </c>
      <c r="D139" s="41">
        <v>1</v>
      </c>
      <c r="E139" s="123">
        <v>1</v>
      </c>
      <c r="F139" s="124">
        <v>500</v>
      </c>
      <c r="G139" s="125">
        <v>2500</v>
      </c>
      <c r="H139" s="125"/>
      <c r="I139" s="117">
        <f t="shared" ref="I139" si="48">SUM(F139:H139)*E139</f>
        <v>3000</v>
      </c>
      <c r="J139" s="48"/>
      <c r="K139" s="47">
        <f t="shared" ref="K139" si="49">D139*I139</f>
        <v>3000</v>
      </c>
      <c r="L139" s="47"/>
      <c r="M139" s="49"/>
      <c r="N139" s="86"/>
    </row>
    <row r="140" spans="1:15" ht="30">
      <c r="A140" s="10"/>
      <c r="B140" s="73" t="s">
        <v>107</v>
      </c>
      <c r="C140" s="74" t="s">
        <v>74</v>
      </c>
      <c r="D140" s="41">
        <v>2</v>
      </c>
      <c r="E140" s="123">
        <v>1</v>
      </c>
      <c r="F140" s="124">
        <v>200</v>
      </c>
      <c r="G140" s="125">
        <v>3000</v>
      </c>
      <c r="H140" s="125"/>
      <c r="I140" s="117">
        <f t="shared" si="46"/>
        <v>3200</v>
      </c>
      <c r="J140" s="48"/>
      <c r="K140" s="47">
        <f t="shared" si="47"/>
        <v>6400</v>
      </c>
      <c r="L140" s="47"/>
      <c r="M140" s="49"/>
      <c r="N140" s="86"/>
    </row>
    <row r="141" spans="1:15" ht="18.75">
      <c r="A141" s="10"/>
      <c r="B141" s="73" t="s">
        <v>95</v>
      </c>
      <c r="C141" s="74" t="s">
        <v>74</v>
      </c>
      <c r="D141" s="41">
        <v>1</v>
      </c>
      <c r="E141" s="123"/>
      <c r="F141" s="124"/>
      <c r="G141" s="125"/>
      <c r="H141" s="125"/>
      <c r="I141" s="117">
        <f t="shared" si="46"/>
        <v>0</v>
      </c>
      <c r="J141" s="48"/>
      <c r="K141" s="47">
        <f t="shared" si="47"/>
        <v>0</v>
      </c>
      <c r="L141" s="47"/>
      <c r="M141" s="49"/>
      <c r="N141" s="86"/>
      <c r="O141" s="42" t="s">
        <v>165</v>
      </c>
    </row>
    <row r="142" spans="1:15" ht="18.75">
      <c r="A142" s="10"/>
      <c r="B142" s="73" t="s">
        <v>96</v>
      </c>
      <c r="C142" s="74" t="s">
        <v>74</v>
      </c>
      <c r="D142" s="41">
        <v>1</v>
      </c>
      <c r="E142" s="123"/>
      <c r="F142" s="124"/>
      <c r="G142" s="125"/>
      <c r="H142" s="125"/>
      <c r="I142" s="117">
        <f t="shared" si="46"/>
        <v>0</v>
      </c>
      <c r="J142" s="48"/>
      <c r="K142" s="47">
        <f t="shared" si="47"/>
        <v>0</v>
      </c>
      <c r="L142" s="47"/>
      <c r="M142" s="49"/>
      <c r="N142" s="86"/>
      <c r="O142" s="42" t="s">
        <v>165</v>
      </c>
    </row>
    <row r="143" spans="1:15" ht="18.75">
      <c r="A143" s="10"/>
      <c r="B143" s="73" t="s">
        <v>105</v>
      </c>
      <c r="C143" s="74" t="s">
        <v>74</v>
      </c>
      <c r="D143" s="41">
        <v>1</v>
      </c>
      <c r="E143" s="123"/>
      <c r="F143" s="124"/>
      <c r="G143" s="125"/>
      <c r="H143" s="125"/>
      <c r="I143" s="117">
        <f t="shared" si="46"/>
        <v>0</v>
      </c>
      <c r="J143" s="48"/>
      <c r="K143" s="47">
        <f t="shared" si="47"/>
        <v>0</v>
      </c>
      <c r="L143" s="47"/>
      <c r="M143" s="49"/>
      <c r="N143" s="86"/>
      <c r="O143" s="42" t="s">
        <v>165</v>
      </c>
    </row>
    <row r="144" spans="1:15" ht="30">
      <c r="A144" s="10"/>
      <c r="B144" s="73" t="s">
        <v>97</v>
      </c>
      <c r="C144" s="74" t="s">
        <v>74</v>
      </c>
      <c r="D144" s="41">
        <v>2</v>
      </c>
      <c r="E144" s="123">
        <v>1</v>
      </c>
      <c r="F144" s="124">
        <v>10000</v>
      </c>
      <c r="G144" s="125"/>
      <c r="H144" s="125"/>
      <c r="I144" s="117">
        <f t="shared" si="46"/>
        <v>10000</v>
      </c>
      <c r="J144" s="48"/>
      <c r="K144" s="47">
        <f t="shared" si="47"/>
        <v>20000</v>
      </c>
      <c r="L144" s="47"/>
      <c r="M144" s="49"/>
      <c r="N144" s="86"/>
    </row>
    <row r="145" spans="1:16" ht="18.75">
      <c r="A145" s="10"/>
      <c r="B145" s="73"/>
      <c r="C145" s="74"/>
      <c r="D145" s="41"/>
      <c r="E145" s="123"/>
      <c r="F145" s="124"/>
      <c r="G145" s="125"/>
      <c r="H145" s="125"/>
      <c r="I145" s="117"/>
      <c r="J145" s="48"/>
      <c r="K145" s="47"/>
      <c r="L145" s="47"/>
      <c r="M145" s="49"/>
      <c r="N145" s="86"/>
    </row>
    <row r="146" spans="1:16" s="60" customFormat="1" ht="18">
      <c r="A146" s="8"/>
      <c r="B146" s="92" t="s">
        <v>166</v>
      </c>
      <c r="C146" s="76"/>
      <c r="D146" s="77"/>
      <c r="E146" s="178"/>
      <c r="F146" s="160"/>
      <c r="G146" s="170"/>
      <c r="H146" s="170"/>
      <c r="I146" s="45"/>
      <c r="J146" s="6"/>
      <c r="K146" s="7"/>
      <c r="L146" s="7"/>
      <c r="M146" s="78">
        <f>SUM(L147:L150)</f>
        <v>270000</v>
      </c>
      <c r="N146" s="9"/>
    </row>
    <row r="147" spans="1:16" s="65" customFormat="1" ht="18.75">
      <c r="A147" s="14"/>
      <c r="B147" s="79" t="s">
        <v>167</v>
      </c>
      <c r="C147" s="80"/>
      <c r="D147" s="81"/>
      <c r="E147" s="179"/>
      <c r="F147" s="161"/>
      <c r="G147" s="171"/>
      <c r="H147" s="171"/>
      <c r="I147" s="39"/>
      <c r="J147" s="82"/>
      <c r="K147" s="83"/>
      <c r="L147" s="64">
        <f>SUM(K148:K148)</f>
        <v>120000</v>
      </c>
      <c r="M147" s="64"/>
      <c r="N147" s="84"/>
    </row>
    <row r="148" spans="1:16" ht="18.75">
      <c r="A148" s="10"/>
      <c r="B148" s="73" t="s">
        <v>167</v>
      </c>
      <c r="C148" s="74" t="s">
        <v>1</v>
      </c>
      <c r="D148" s="41">
        <v>1</v>
      </c>
      <c r="E148" s="123">
        <v>1</v>
      </c>
      <c r="F148" s="124">
        <v>120000</v>
      </c>
      <c r="G148" s="125"/>
      <c r="H148" s="125"/>
      <c r="I148" s="117">
        <f t="shared" ref="I148" si="50">F148+G148*E148+H148</f>
        <v>120000</v>
      </c>
      <c r="J148" s="48"/>
      <c r="K148" s="47">
        <f t="shared" ref="K148" si="51">D148*I148</f>
        <v>120000</v>
      </c>
      <c r="L148" s="49"/>
      <c r="M148" s="49"/>
      <c r="N148" s="86"/>
      <c r="P148" s="127"/>
    </row>
    <row r="149" spans="1:16" s="65" customFormat="1" ht="18.75">
      <c r="A149" s="14"/>
      <c r="B149" s="79" t="s">
        <v>168</v>
      </c>
      <c r="C149" s="80"/>
      <c r="D149" s="81"/>
      <c r="E149" s="179"/>
      <c r="F149" s="161"/>
      <c r="G149" s="171"/>
      <c r="H149" s="171"/>
      <c r="I149" s="39"/>
      <c r="J149" s="82"/>
      <c r="K149" s="83"/>
      <c r="L149" s="64">
        <f>SUM(K150:K150)</f>
        <v>150000</v>
      </c>
      <c r="M149" s="64"/>
      <c r="N149" s="84"/>
    </row>
    <row r="150" spans="1:16" ht="30.75" thickBot="1">
      <c r="A150" s="10"/>
      <c r="B150" s="73" t="s">
        <v>169</v>
      </c>
      <c r="C150" s="74" t="s">
        <v>1</v>
      </c>
      <c r="D150" s="41">
        <v>1</v>
      </c>
      <c r="E150" s="123">
        <v>1</v>
      </c>
      <c r="F150" s="124">
        <v>150000</v>
      </c>
      <c r="G150" s="125"/>
      <c r="H150" s="125"/>
      <c r="I150" s="117">
        <f t="shared" ref="I150" si="52">F150+G150*E150+H150</f>
        <v>150000</v>
      </c>
      <c r="J150" s="48"/>
      <c r="K150" s="47">
        <f t="shared" ref="K150" si="53">D150*I150</f>
        <v>150000</v>
      </c>
      <c r="L150" s="49"/>
      <c r="M150" s="49"/>
      <c r="N150" s="86"/>
      <c r="P150" s="127"/>
    </row>
    <row r="151" spans="1:16" ht="19.5" thickBot="1">
      <c r="A151" s="36"/>
      <c r="B151" s="19" t="s">
        <v>8</v>
      </c>
      <c r="C151" s="93"/>
      <c r="D151" s="93"/>
      <c r="E151" s="162"/>
      <c r="F151" s="162"/>
      <c r="G151" s="162"/>
      <c r="H151" s="162"/>
      <c r="I151" s="93"/>
      <c r="J151" s="94"/>
      <c r="K151" s="93"/>
      <c r="L151" s="95"/>
      <c r="M151" s="96">
        <f>M152</f>
        <v>1299403.61882</v>
      </c>
      <c r="N151" s="93"/>
    </row>
    <row r="152" spans="1:16" ht="18.75" thickBot="1">
      <c r="A152" s="20"/>
      <c r="B152" s="306" t="s">
        <v>9</v>
      </c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97">
        <f>SUM(M4:M150)</f>
        <v>1299403.61882</v>
      </c>
      <c r="N152" s="93"/>
    </row>
    <row r="153" spans="1:16" ht="20.25" thickTop="1" thickBot="1">
      <c r="A153" s="5"/>
      <c r="B153" s="4"/>
      <c r="C153" s="98"/>
      <c r="D153" s="98"/>
      <c r="E153" s="163"/>
      <c r="F153" s="163"/>
      <c r="G153" s="163"/>
      <c r="H153" s="163"/>
      <c r="I153" s="98"/>
      <c r="J153" s="98"/>
      <c r="K153" s="98"/>
      <c r="L153" s="37" t="s">
        <v>10</v>
      </c>
      <c r="M153" s="38">
        <f>M151</f>
        <v>1299403.61882</v>
      </c>
      <c r="N153" s="99"/>
    </row>
    <row r="154" spans="1:16" ht="20.25" thickTop="1" thickBot="1">
      <c r="A154" s="5"/>
      <c r="B154" s="4"/>
      <c r="C154" s="98"/>
      <c r="D154" s="98"/>
      <c r="E154" s="163"/>
      <c r="F154" s="163"/>
      <c r="G154" s="163"/>
      <c r="H154" s="163"/>
      <c r="I154" s="98"/>
      <c r="J154" s="98"/>
      <c r="K154" s="98"/>
      <c r="L154" s="100" t="s">
        <v>11</v>
      </c>
      <c r="M154" s="101">
        <f>M153*0</f>
        <v>0</v>
      </c>
      <c r="N154" s="102"/>
    </row>
    <row r="155" spans="1:16" ht="20.25" thickTop="1" thickBot="1">
      <c r="A155" s="5"/>
      <c r="B155" s="4"/>
      <c r="C155" s="98"/>
      <c r="D155" s="98"/>
      <c r="E155" s="163"/>
      <c r="F155" s="163"/>
      <c r="G155" s="163"/>
      <c r="H155" s="163"/>
      <c r="I155" s="98"/>
      <c r="J155" s="98"/>
      <c r="K155" s="98"/>
      <c r="L155" s="37" t="s">
        <v>12</v>
      </c>
      <c r="M155" s="38">
        <f>M153+M154</f>
        <v>1299403.61882</v>
      </c>
      <c r="N155" s="99"/>
    </row>
    <row r="156" spans="1:16" ht="18.75" thickTop="1">
      <c r="B156" s="2"/>
      <c r="C156" s="103"/>
      <c r="D156" s="103"/>
      <c r="E156" s="164"/>
      <c r="F156" s="164"/>
      <c r="G156" s="164"/>
      <c r="H156" s="164"/>
      <c r="I156" s="103"/>
      <c r="J156" s="103"/>
      <c r="K156" s="103"/>
      <c r="L156" s="103"/>
      <c r="M156" s="103"/>
      <c r="N156" s="104"/>
    </row>
    <row r="157" spans="1:16" ht="18">
      <c r="B157" s="2"/>
      <c r="C157" s="103"/>
      <c r="D157" s="103"/>
      <c r="E157" s="164"/>
      <c r="F157" s="164"/>
      <c r="G157" s="164"/>
      <c r="H157" s="164"/>
      <c r="I157" s="103"/>
      <c r="J157" s="103"/>
      <c r="K157" s="103"/>
      <c r="L157" s="103"/>
      <c r="M157" s="105"/>
      <c r="N157" s="104"/>
    </row>
    <row r="158" spans="1:16" ht="18">
      <c r="B158" s="2"/>
      <c r="C158" s="103"/>
      <c r="D158" s="103"/>
      <c r="E158" s="164"/>
      <c r="F158" s="164"/>
      <c r="G158" s="164"/>
      <c r="H158" s="164"/>
      <c r="I158" s="103"/>
      <c r="J158" s="103"/>
      <c r="K158" s="103"/>
      <c r="L158" s="103"/>
      <c r="M158" s="105"/>
      <c r="N158" s="104"/>
    </row>
    <row r="159" spans="1:16" ht="18">
      <c r="B159" s="106"/>
      <c r="C159" s="107"/>
      <c r="D159" s="103"/>
      <c r="E159" s="164"/>
      <c r="F159" s="164"/>
      <c r="G159" s="164"/>
      <c r="H159" s="164"/>
      <c r="I159" s="103"/>
      <c r="J159" s="103"/>
      <c r="K159" s="103"/>
      <c r="N159" s="104"/>
    </row>
    <row r="160" spans="1:16" ht="18">
      <c r="E160" s="180"/>
      <c r="M160" s="108"/>
    </row>
    <row r="161" spans="1:14" ht="18">
      <c r="E161" s="180"/>
      <c r="M161" s="110"/>
    </row>
    <row r="162" spans="1:14" ht="15">
      <c r="L162" s="111"/>
      <c r="M162" s="112"/>
    </row>
    <row r="163" spans="1:14" ht="18">
      <c r="B163" s="113" t="s">
        <v>26</v>
      </c>
      <c r="C163" s="114">
        <v>305</v>
      </c>
      <c r="D163" s="115" t="s">
        <v>0</v>
      </c>
      <c r="E163" s="180"/>
    </row>
    <row r="164" spans="1:14" ht="18">
      <c r="A164" s="42"/>
      <c r="B164" s="113" t="s">
        <v>24</v>
      </c>
      <c r="C164" s="116">
        <f>M155/C163</f>
        <v>4260.3397338360655</v>
      </c>
      <c r="D164" s="115" t="s">
        <v>25</v>
      </c>
      <c r="E164" s="180"/>
      <c r="F164" s="42"/>
      <c r="G164" s="42"/>
      <c r="H164" s="42"/>
      <c r="N164" s="42"/>
    </row>
    <row r="165" spans="1:14" ht="18">
      <c r="A165" s="42"/>
      <c r="B165" s="106"/>
      <c r="C165" s="106"/>
      <c r="D165" s="106"/>
      <c r="E165" s="180"/>
      <c r="F165" s="42"/>
      <c r="G165" s="42"/>
      <c r="H165" s="42"/>
      <c r="N165" s="42"/>
    </row>
    <row r="166" spans="1:14" ht="18">
      <c r="A166" s="42"/>
      <c r="B166" s="106"/>
      <c r="C166" s="106"/>
      <c r="D166" s="106"/>
      <c r="E166" s="180"/>
      <c r="F166" s="42"/>
      <c r="G166" s="42"/>
      <c r="H166" s="42"/>
      <c r="N166" s="42"/>
    </row>
    <row r="167" spans="1:14" ht="18">
      <c r="A167" s="42"/>
      <c r="B167" s="106"/>
      <c r="C167" s="106"/>
      <c r="D167" s="106"/>
      <c r="E167" s="180"/>
      <c r="F167" s="42"/>
      <c r="G167" s="42"/>
      <c r="H167" s="42"/>
      <c r="N167" s="42"/>
    </row>
    <row r="168" spans="1:14" ht="18">
      <c r="A168" s="42"/>
      <c r="B168" s="106"/>
      <c r="C168" s="106"/>
      <c r="D168" s="106"/>
      <c r="E168" s="180"/>
      <c r="F168" s="42"/>
      <c r="G168" s="42"/>
      <c r="H168" s="42"/>
      <c r="N168" s="42"/>
    </row>
  </sheetData>
  <mergeCells count="2">
    <mergeCell ref="B152:L152"/>
    <mergeCell ref="B1:N1"/>
  </mergeCells>
  <pageMargins left="0.7" right="0.7" top="0.75" bottom="0.75" header="0.3" footer="0.3"/>
  <pageSetup paperSize="8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PODSUMOWANIE</vt:lpstr>
      <vt:lpstr>koszty pośrednie</vt:lpstr>
      <vt:lpstr>dworzec tymczasowy</vt:lpstr>
      <vt:lpstr>Zagospodarowanie, rozbiórki,</vt:lpstr>
      <vt:lpstr>BUDŻET TYP A</vt:lpstr>
      <vt:lpstr>BUDŻET TYP B</vt:lpstr>
      <vt:lpstr>'BUDŻET TYP B'!Obszar_wydruku</vt:lpstr>
      <vt:lpstr>'dworzec tymczasowy'!Obszar_wydruku</vt:lpstr>
      <vt:lpstr>'koszty pośrednie'!Obszar_wydruku</vt:lpstr>
      <vt:lpstr>PODSUMOWANIE!Obszar_wydruku</vt:lpstr>
      <vt:lpstr>'Zagospodarowanie, rozbiórki,'!Obszar_wydruku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</dc:creator>
  <cp:lastModifiedBy>Tomasz Grzegorczyk</cp:lastModifiedBy>
  <cp:lastPrinted>2019-06-06T14:42:24Z</cp:lastPrinted>
  <dcterms:created xsi:type="dcterms:W3CDTF">2012-08-27T12:44:56Z</dcterms:created>
  <dcterms:modified xsi:type="dcterms:W3CDTF">2019-09-17T09:26:26Z</dcterms:modified>
</cp:coreProperties>
</file>